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05" windowWidth="15480" windowHeight="4350"/>
  </bookViews>
  <sheets>
    <sheet name="Бюджетирование" sheetId="1" r:id="rId1"/>
    <sheet name="Амортизация" sheetId="3" r:id="rId2"/>
    <sheet name="Календарный план" sheetId="4" r:id="rId3"/>
    <sheet name="Расчет продолжительности дней" sheetId="5" r:id="rId4"/>
  </sheets>
  <definedNames>
    <definedName name="_Hlt496184984" localSheetId="0">#REF!</definedName>
    <definedName name="_Toc493545053" localSheetId="1">Бюджетирование!#REF!</definedName>
    <definedName name="_Toc493545054" localSheetId="1">Бюджетирование!#REF!</definedName>
    <definedName name="_Toc493545055" localSheetId="1">Бюджетирование!#REF!</definedName>
  </definedNames>
  <calcPr calcId="145621"/>
</workbook>
</file>

<file path=xl/calcChain.xml><?xml version="1.0" encoding="utf-8"?>
<calcChain xmlns="http://schemas.openxmlformats.org/spreadsheetml/2006/main">
  <c r="I4" i="1" l="1"/>
  <c r="I7" i="1" s="1"/>
  <c r="I5" i="5"/>
  <c r="J5" i="5"/>
  <c r="J4" i="5"/>
  <c r="I4" i="5"/>
  <c r="E54" i="1"/>
  <c r="E52" i="1" s="1"/>
  <c r="D54" i="1"/>
  <c r="D52" i="1" s="1"/>
  <c r="D55" i="1" s="1"/>
  <c r="C54" i="1"/>
  <c r="C52" i="1" s="1"/>
  <c r="F54" i="1"/>
  <c r="N54" i="1"/>
  <c r="N52" i="1" s="1"/>
  <c r="N55" i="1" s="1"/>
  <c r="M54" i="1"/>
  <c r="M52" i="1" s="1"/>
  <c r="M55" i="1" s="1"/>
  <c r="L54" i="1"/>
  <c r="L52" i="1" s="1"/>
  <c r="L55" i="1" s="1"/>
  <c r="K54" i="1"/>
  <c r="K52" i="1" s="1"/>
  <c r="K55" i="1" s="1"/>
  <c r="J54" i="1"/>
  <c r="J52" i="1" s="1"/>
  <c r="J55" i="1" s="1"/>
  <c r="I54" i="1"/>
  <c r="I52" i="1" s="1"/>
  <c r="H54" i="1"/>
  <c r="H52" i="1" s="1"/>
  <c r="G54" i="1"/>
  <c r="G52" i="1" s="1"/>
  <c r="M74" i="1"/>
  <c r="O53" i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C19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N16" i="1" s="1"/>
  <c r="O54" i="1" l="1"/>
  <c r="F52" i="1"/>
  <c r="O52" i="1" s="1"/>
  <c r="C55" i="1"/>
  <c r="L16" i="1"/>
  <c r="J16" i="1"/>
  <c r="H16" i="1"/>
  <c r="F16" i="1"/>
  <c r="D16" i="1"/>
  <c r="C16" i="1"/>
  <c r="M16" i="1"/>
  <c r="K16" i="1"/>
  <c r="I16" i="1"/>
  <c r="G16" i="1"/>
  <c r="E16" i="1"/>
  <c r="O61" i="1" l="1"/>
  <c r="D10" i="3"/>
  <c r="D3" i="3"/>
  <c r="D8" i="3" l="1"/>
  <c r="D16" i="3"/>
  <c r="L74" i="1" l="1"/>
  <c r="K74" i="1"/>
  <c r="L43" i="1"/>
  <c r="K43" i="1"/>
  <c r="J43" i="1"/>
  <c r="I43" i="1"/>
  <c r="H43" i="1"/>
  <c r="G43" i="1"/>
  <c r="F43" i="1"/>
  <c r="E43" i="1"/>
  <c r="N42" i="1"/>
  <c r="N41" i="1"/>
  <c r="N40" i="1"/>
  <c r="O62" i="1"/>
  <c r="O65" i="1"/>
  <c r="G74" i="1" l="1"/>
  <c r="F74" i="1"/>
  <c r="J74" i="1"/>
  <c r="I51" i="1"/>
  <c r="I55" i="1" s="1"/>
  <c r="H49" i="1"/>
  <c r="H51" i="1" s="1"/>
  <c r="H55" i="1" s="1"/>
  <c r="G49" i="1"/>
  <c r="F49" i="1"/>
  <c r="F51" i="1" s="1"/>
  <c r="F55" i="1" s="1"/>
  <c r="E49" i="1"/>
  <c r="D43" i="1"/>
  <c r="C43" i="1"/>
  <c r="B43" i="1"/>
  <c r="I34" i="1"/>
  <c r="H32" i="1"/>
  <c r="H34" i="1" s="1"/>
  <c r="G32" i="1"/>
  <c r="G34" i="1" s="1"/>
  <c r="F32" i="1"/>
  <c r="F34" i="1" s="1"/>
  <c r="E32" i="1"/>
  <c r="H27" i="1"/>
  <c r="G27" i="1"/>
  <c r="F27" i="1"/>
  <c r="E27" i="1"/>
  <c r="I26" i="1"/>
  <c r="I25" i="1"/>
  <c r="H25" i="1"/>
  <c r="G25" i="1"/>
  <c r="F25" i="1"/>
  <c r="E25" i="1"/>
  <c r="N74" i="1" l="1"/>
  <c r="I74" i="1"/>
  <c r="H74" i="1"/>
  <c r="O64" i="1"/>
  <c r="E34" i="1"/>
  <c r="O32" i="1"/>
  <c r="O63" i="1"/>
  <c r="O49" i="1"/>
  <c r="N43" i="1"/>
  <c r="E51" i="1"/>
  <c r="E55" i="1" s="1"/>
  <c r="G51" i="1"/>
  <c r="G55" i="1" s="1"/>
  <c r="I27" i="1"/>
  <c r="O27" i="1" s="1"/>
  <c r="O26" i="1"/>
  <c r="O25" i="1"/>
  <c r="O34" i="1" l="1"/>
  <c r="D74" i="1"/>
  <c r="E74" i="1"/>
  <c r="O55" i="1"/>
  <c r="O51" i="1"/>
  <c r="O18" i="1"/>
  <c r="O17" i="1"/>
  <c r="O14" i="1"/>
  <c r="O71" i="1" l="1"/>
  <c r="O74" i="1" s="1"/>
  <c r="C74" i="1"/>
  <c r="O19" i="1"/>
  <c r="O20" i="1"/>
  <c r="F12" i="1" l="1"/>
  <c r="O33" i="1"/>
  <c r="O16" i="1" l="1"/>
  <c r="B12" i="1"/>
  <c r="D12" i="1" l="1"/>
  <c r="D14" i="1" s="1"/>
  <c r="C12" i="1" l="1"/>
  <c r="C14" i="1" s="1"/>
  <c r="E12" i="1"/>
  <c r="C21" i="1" l="1"/>
  <c r="H12" i="1" l="1"/>
  <c r="H14" i="1" s="1"/>
  <c r="D21" i="1"/>
  <c r="I12" i="1" l="1"/>
  <c r="E21" i="1"/>
  <c r="J12" i="1"/>
  <c r="J14" i="1" s="1"/>
  <c r="F21" i="1" l="1"/>
  <c r="K12" i="1" l="1"/>
  <c r="K14" i="1" s="1"/>
  <c r="G21" i="1"/>
  <c r="H21" i="1" l="1"/>
  <c r="L12" i="1"/>
  <c r="M12" i="1" l="1"/>
  <c r="I21" i="1"/>
  <c r="J21" i="1" l="1"/>
  <c r="K21" i="1" l="1"/>
  <c r="O12" i="1"/>
  <c r="N12" i="1"/>
  <c r="N14" i="1" s="1"/>
  <c r="L21" i="1" l="1"/>
  <c r="M21" i="1" l="1"/>
  <c r="N21" i="1" l="1"/>
  <c r="O21" i="1" l="1"/>
</calcChain>
</file>

<file path=xl/sharedStrings.xml><?xml version="1.0" encoding="utf-8"?>
<sst xmlns="http://schemas.openxmlformats.org/spreadsheetml/2006/main" count="133" uniqueCount="120">
  <si>
    <t>Бюджет продаж</t>
  </si>
  <si>
    <t>Наименование</t>
  </si>
  <si>
    <t>Всего продажи</t>
  </si>
  <si>
    <t>Бюджет коммерческих расходов</t>
  </si>
  <si>
    <t>Запланировано продаж, руб.</t>
  </si>
  <si>
    <t>Планируемые переменные коммерческие расходы (руб)</t>
  </si>
  <si>
    <t>Планируемые постоянные коммерческие расходы (руб)</t>
  </si>
  <si>
    <t>Реклама и продвижение товара</t>
  </si>
  <si>
    <t>Командировочные расходы</t>
  </si>
  <si>
    <t>Прочие постоянные расходы</t>
  </si>
  <si>
    <t>Общие планируемые коммерческие расходы, руб</t>
  </si>
  <si>
    <t>Бюджет производства</t>
  </si>
  <si>
    <t>Запланировано продаж, ед</t>
  </si>
  <si>
    <t>Бюджет прямых затрат на материалы</t>
  </si>
  <si>
    <t>Бюджет общепроизводственных накладных расходов</t>
  </si>
  <si>
    <t>Амортизация</t>
  </si>
  <si>
    <t>Планируемые постоянные накладные расходы, руб в т.ч.:</t>
  </si>
  <si>
    <t>Общие планируемые накладные расходы, руб</t>
  </si>
  <si>
    <t>Бюджет управленческих расходов</t>
  </si>
  <si>
    <t>Аренда</t>
  </si>
  <si>
    <t>Проценты за кредит</t>
  </si>
  <si>
    <t>Прогноз отчета о прибылях и убытках</t>
  </si>
  <si>
    <t>Табл. 1</t>
  </si>
  <si>
    <t>РАЗРАБОТКА ГЕНЕРАЛЬНОГО ПЛАНА</t>
  </si>
  <si>
    <t>ПОЛЕВЫЕ</t>
  </si>
  <si>
    <t xml:space="preserve">КАМЕРАЛЬЕЫЕ </t>
  </si>
  <si>
    <t xml:space="preserve">полевые </t>
  </si>
  <si>
    <t xml:space="preserve">камеральные </t>
  </si>
  <si>
    <t>объем произвоства, руб</t>
  </si>
  <si>
    <t>Представительские расходы</t>
  </si>
  <si>
    <t>Объем рализации, руб.</t>
  </si>
  <si>
    <t>Норма расхода материалов,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</si>
  <si>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</si>
  <si>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</si>
  <si>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</si>
  <si>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</si>
  <si>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</si>
  <si>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</si>
  <si>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</si>
  <si>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</si>
  <si>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</si>
  <si>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</si>
  <si>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</si>
  <si>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</si>
  <si>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Бюджет прямых затрат на оплату труда</t>
  </si>
  <si>
    <t>Специалисты</t>
  </si>
  <si>
    <t>Кадастровый Инженер</t>
  </si>
  <si>
    <t>Итого</t>
  </si>
  <si>
    <t>Директор</t>
  </si>
  <si>
    <t>Бухгалтер</t>
  </si>
  <si>
    <t>Менеджер</t>
  </si>
  <si>
    <t>План производства</t>
  </si>
  <si>
    <t>Таб.5</t>
  </si>
  <si>
    <t>Таб.6</t>
  </si>
  <si>
    <t>кол-во</t>
  </si>
  <si>
    <t>цена</t>
  </si>
  <si>
    <t xml:space="preserve">итого </t>
  </si>
  <si>
    <t xml:space="preserve"> Теодолит электронная  BOIF DJD10 с поверкой</t>
  </si>
  <si>
    <t>итого</t>
  </si>
  <si>
    <t xml:space="preserve">компьютеры </t>
  </si>
  <si>
    <t xml:space="preserve">интернет в месяц </t>
  </si>
  <si>
    <t>ЕСН (30%)</t>
  </si>
  <si>
    <t>Общие коммерческие расходы</t>
  </si>
  <si>
    <t>Планируемые управленичиские расходы, руб.</t>
  </si>
  <si>
    <t>Итого прибыль ( убыток) от реализации, руб.</t>
  </si>
  <si>
    <t>рабочие</t>
  </si>
  <si>
    <t>чистая прибыль</t>
  </si>
  <si>
    <t>Налоги, включаемые в себестоимость, в т.ч.</t>
  </si>
  <si>
    <t>Март</t>
  </si>
  <si>
    <t>Апрель</t>
  </si>
  <si>
    <t>Май</t>
  </si>
  <si>
    <t>Июнь</t>
  </si>
  <si>
    <t>Июль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</si>
  <si>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</si>
  <si>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</si>
  <si>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</si>
  <si>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</si>
  <si>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</si>
  <si>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</si>
  <si>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</si>
  <si>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</si>
  <si>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</si>
  <si>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Выходной день</t>
  </si>
  <si>
    <t>Рабочий день</t>
  </si>
  <si>
    <t>Планы работ</t>
  </si>
  <si>
    <t>Объемы работ</t>
  </si>
  <si>
    <t>Труд. затраты специалистов</t>
  </si>
  <si>
    <t>Труд. затраты рабочих</t>
  </si>
  <si>
    <t>Кол-во  специалистов</t>
  </si>
  <si>
    <t>Кол-во рабочих</t>
  </si>
  <si>
    <t>Продолж. работ специалистов</t>
  </si>
  <si>
    <t>Продолж. работ рабочих</t>
  </si>
  <si>
    <t>Максимальная продолж. дня</t>
  </si>
  <si>
    <t>Норма переменных расходов</t>
  </si>
  <si>
    <t>Переменные общепроизводственные расходы (ГСМ)</t>
  </si>
  <si>
    <t>Имущество для расчета амортизации в Управленческих расходах</t>
  </si>
  <si>
    <t>Имущество для расчета амортизации в Общепроизводственных расходах</t>
  </si>
  <si>
    <t>….</t>
  </si>
  <si>
    <t>…</t>
  </si>
  <si>
    <t>Сумма по смете - 10% прибыли</t>
  </si>
  <si>
    <t>Необходимо высчитать долю производственных затрат, приходящихся на каждый месяц по календарному плану и смете затрат, предполагая что в смете каждлая работа содержит 10% прибыли</t>
  </si>
  <si>
    <t>Расход материалов, руб.</t>
  </si>
  <si>
    <t>Месяцы, когда нет работы необходимо поставить по минимальной ставке, по усмотрению студентов.</t>
  </si>
  <si>
    <t>В месяцы, когда есть работа рекомендуется по календарному плану и плану численности людей на полевых работах рассчитать зарплату, предположив, что оплата в день геодезиста 2300 руб, рабочего - 1200</t>
  </si>
  <si>
    <t>В зависимости от производственного плана и рекомендуемой нормы переменных общепроизводственных расходов 0,05% рассчитать переменные расходы</t>
  </si>
  <si>
    <t>В соответствии с высчитаннными производственными затратами примем затраты на метриалы 0,02% от суммы производственных затрат</t>
  </si>
  <si>
    <t>Постоянные расходы не зависят от объема работ. К Амортизации необходимо добавить прочие постоянные расходы по усмотрению студентов от 1000 до 2000 руб. в январе. В полседующие месяцы необходимо эту сумму корректировать на величину инфляции</t>
  </si>
  <si>
    <t>Инфляция - 8%</t>
  </si>
  <si>
    <t xml:space="preserve">Необходимо подсчитать все отчисления с заработной платы рабочих и специалистов в размере 30% </t>
  </si>
  <si>
    <t>Заработная плата:</t>
  </si>
  <si>
    <t>Налог на имущество (2,2%)</t>
  </si>
  <si>
    <t>Общие управленческие расходы:</t>
  </si>
  <si>
    <t xml:space="preserve">Канцелярские расходы </t>
  </si>
  <si>
    <t xml:space="preserve">Услуги связи </t>
  </si>
  <si>
    <t>К выплате по управленческим расходам (без амортизации):</t>
  </si>
  <si>
    <t>Выручка (без НДС)</t>
  </si>
  <si>
    <t>Бюджет заработной платы</t>
  </si>
  <si>
    <t>Общепроизводственные расходы, руб.</t>
  </si>
  <si>
    <t>Общие расходы (Себестоимость)</t>
  </si>
  <si>
    <t>налог на прибыль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</si>
</sst>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sz val="10"/>
      <color theme="3"/>
      <name val="Arial Cyr"/>
      <charset val="204"/>
    </font>
    <font>
      <b/>
      <sz val="10"/>
      <color theme="3"/>
      <name val="Arial Cyr"/>
      <charset val="204"/>
    </font>
    <font>
      <sz val="10"/>
      <color theme="4" tint="-0.249977111117893"/>
      <name val="Arial Cyr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4" tint="-0.249977111117893"/>
      <name val="Arial Cyr"/>
      <charset val="204"/>
    </font>
    <font>
      <sz val="10"/>
      <color rgb="FFFF0000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4" fillId="0" borderId="0" xfId="0" applyFont="1" applyAlignment="1">
      <alignment wrapText="1"/>
    </xf>
    <xf numFmtId="0" fontId="4" fillId="0" borderId="0" xfId="0" applyFont="1"/>
    <xf numFmtId="1" fontId="0" fillId="0" borderId="0" xfId="0" applyNumberFormat="1"/>
    <xf numFmtId="0" fontId="2" fillId="0" borderId="1" xfId="0" applyFont="1" applyBorder="1" applyAlignment="1">
      <alignment wrapText="1"/>
    </xf>
    <xf numFmtId="0" fontId="5" fillId="0" borderId="1" xfId="0" applyFont="1" applyBorder="1"/>
    <xf numFmtId="3" fontId="0" fillId="0" borderId="0" xfId="0" applyNumberFormat="1"/>
    <xf numFmtId="1" fontId="5" fillId="0" borderId="1" xfId="0" applyNumberFormat="1" applyFont="1" applyBorder="1"/>
    <xf numFmtId="1" fontId="5" fillId="0" borderId="0" xfId="0" applyNumberFormat="1" applyFont="1"/>
    <xf numFmtId="0" fontId="0" fillId="0" borderId="0" xfId="0" applyBorder="1"/>
    <xf numFmtId="1" fontId="6" fillId="0" borderId="1" xfId="0" applyNumberFormat="1" applyFont="1" applyBorder="1"/>
    <xf numFmtId="0" fontId="5" fillId="0" borderId="0" xfId="0" applyFont="1"/>
    <xf numFmtId="1" fontId="5" fillId="0" borderId="2" xfId="0" applyNumberFormat="1" applyFont="1" applyFill="1" applyBorder="1"/>
    <xf numFmtId="0" fontId="0" fillId="0" borderId="0" xfId="0" applyFill="1"/>
    <xf numFmtId="0" fontId="1" fillId="0" borderId="0" xfId="0" applyFont="1"/>
    <xf numFmtId="0" fontId="0" fillId="2" borderId="0" xfId="0" applyFill="1"/>
    <xf numFmtId="3" fontId="5" fillId="0" borderId="1" xfId="0" applyNumberFormat="1" applyFont="1" applyBorder="1"/>
    <xf numFmtId="0" fontId="0" fillId="3" borderId="0" xfId="0" applyFill="1"/>
    <xf numFmtId="0" fontId="7" fillId="0" borderId="1" xfId="0" applyFont="1" applyBorder="1"/>
    <xf numFmtId="0" fontId="0" fillId="0" borderId="0" xfId="0" applyBorder="1" applyAlignment="1">
      <alignment wrapText="1"/>
    </xf>
    <xf numFmtId="1" fontId="5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 applyBorder="1"/>
    <xf numFmtId="0" fontId="5" fillId="0" borderId="0" xfId="0" applyFont="1" applyBorder="1"/>
    <xf numFmtId="0" fontId="0" fillId="0" borderId="1" xfId="0" applyFont="1" applyBorder="1"/>
    <xf numFmtId="0" fontId="4" fillId="3" borderId="0" xfId="0" applyFont="1" applyFill="1"/>
    <xf numFmtId="0" fontId="0" fillId="0" borderId="7" xfId="0" applyFont="1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3" fontId="0" fillId="0" borderId="1" xfId="0" applyNumberForma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164" fontId="5" fillId="0" borderId="1" xfId="0" applyNumberFormat="1" applyFont="1" applyBorder="1"/>
    <xf numFmtId="165" fontId="5" fillId="0" borderId="1" xfId="0" applyNumberFormat="1" applyFont="1" applyBorder="1"/>
    <xf numFmtId="0" fontId="2" fillId="5" borderId="1" xfId="0" applyFont="1" applyFill="1" applyBorder="1" applyAlignment="1">
      <alignment wrapText="1"/>
    </xf>
    <xf numFmtId="0" fontId="0" fillId="5" borderId="1" xfId="0" applyFont="1" applyFill="1" applyBorder="1"/>
    <xf numFmtId="0" fontId="0" fillId="5" borderId="1" xfId="0" applyFill="1" applyBorder="1"/>
    <xf numFmtId="1" fontId="5" fillId="0" borderId="0" xfId="0" applyNumberFormat="1" applyFont="1" applyFill="1" applyBorder="1"/>
    <xf numFmtId="164" fontId="5" fillId="0" borderId="0" xfId="0" applyNumberFormat="1" applyFont="1" applyBorder="1"/>
    <xf numFmtId="1" fontId="6" fillId="0" borderId="0" xfId="0" applyNumberFormat="1" applyFont="1" applyBorder="1"/>
    <xf numFmtId="0" fontId="5" fillId="3" borderId="0" xfId="0" applyFont="1" applyFill="1" applyBorder="1"/>
    <xf numFmtId="0" fontId="0" fillId="6" borderId="3" xfId="0" applyFill="1" applyBorder="1"/>
    <xf numFmtId="0" fontId="0" fillId="7" borderId="14" xfId="0" applyFill="1" applyBorder="1"/>
    <xf numFmtId="0" fontId="0" fillId="7" borderId="1" xfId="0" applyFill="1" applyBorder="1"/>
    <xf numFmtId="0" fontId="0" fillId="0" borderId="15" xfId="0" applyBorder="1"/>
    <xf numFmtId="0" fontId="0" fillId="0" borderId="14" xfId="0" applyBorder="1"/>
    <xf numFmtId="0" fontId="0" fillId="0" borderId="3" xfId="0" applyBorder="1"/>
    <xf numFmtId="0" fontId="0" fillId="8" borderId="1" xfId="0" applyFill="1" applyBorder="1"/>
    <xf numFmtId="0" fontId="9" fillId="8" borderId="1" xfId="0" applyFont="1" applyFill="1" applyBorder="1"/>
    <xf numFmtId="0" fontId="9" fillId="8" borderId="15" xfId="0" applyFont="1" applyFill="1" applyBorder="1"/>
    <xf numFmtId="0" fontId="0" fillId="3" borderId="15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7" xfId="0" applyFill="1" applyBorder="1"/>
    <xf numFmtId="0" fontId="9" fillId="3" borderId="17" xfId="0" applyFont="1" applyFill="1" applyBorder="1"/>
    <xf numFmtId="0" fontId="0" fillId="7" borderId="17" xfId="0" applyFill="1" applyBorder="1"/>
    <xf numFmtId="0" fontId="0" fillId="0" borderId="0" xfId="0" applyBorder="1" applyAlignment="1"/>
    <xf numFmtId="0" fontId="0" fillId="8" borderId="0" xfId="0" applyFill="1" applyAlignment="1"/>
    <xf numFmtId="0" fontId="0" fillId="8" borderId="0" xfId="0" applyFill="1"/>
    <xf numFmtId="0" fontId="0" fillId="0" borderId="0" xfId="0" applyAlignment="1"/>
    <xf numFmtId="0" fontId="0" fillId="0" borderId="0" xfId="0" applyFill="1" applyBorder="1"/>
    <xf numFmtId="0" fontId="0" fillId="0" borderId="1" xfId="0" applyFill="1" applyBorder="1"/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9" borderId="25" xfId="0" applyFill="1" applyBorder="1" applyAlignment="1">
      <alignment vertical="center" wrapText="1"/>
    </xf>
    <xf numFmtId="0" fontId="0" fillId="9" borderId="0" xfId="0" applyFill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8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/>
    <xf numFmtId="1" fontId="10" fillId="0" borderId="1" xfId="0" applyNumberFormat="1" applyFont="1" applyBorder="1"/>
    <xf numFmtId="0" fontId="11" fillId="0" borderId="0" xfId="0" applyFont="1" applyBorder="1" applyAlignment="1">
      <alignment wrapText="1"/>
    </xf>
    <xf numFmtId="0" fontId="11" fillId="3" borderId="0" xfId="0" applyFont="1" applyFill="1"/>
    <xf numFmtId="0" fontId="11" fillId="0" borderId="1" xfId="0" applyFont="1" applyBorder="1"/>
    <xf numFmtId="0" fontId="11" fillId="5" borderId="1" xfId="0" applyFont="1" applyFill="1" applyBorder="1"/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6"/>
  <sheetViews>
    <sheetView tabSelected="1" topLeftCell="A60" zoomScale="130" zoomScaleNormal="130" workbookViewId="0">
      <selection activeCell="A72" sqref="A72"/>
    </sheetView>
  </sheetViews>
  <sheetFormatPr defaultRowHeight="12.75" x14ac:dyDescent="0.2"/>
  <cols>
    <col min="1" max="1" width="36.7109375" style="2" customWidth="1"/>
    <col min="2" max="3" width="10" customWidth="1"/>
    <col min="4" max="4" width="9.85546875" bestFit="1" customWidth="1"/>
    <col min="5" max="5" width="10.42578125" customWidth="1"/>
    <col min="6" max="6" width="8.85546875" customWidth="1"/>
    <col min="7" max="7" width="12.5703125" customWidth="1"/>
    <col min="8" max="8" width="10.7109375" bestFit="1" customWidth="1"/>
    <col min="9" max="9" width="11.42578125" customWidth="1"/>
    <col min="10" max="10" width="9.85546875" customWidth="1"/>
    <col min="11" max="11" width="9.5703125" customWidth="1"/>
    <col min="12" max="12" width="8.42578125" customWidth="1"/>
    <col min="13" max="13" width="10.5703125" customWidth="1"/>
    <col min="14" max="14" width="10" customWidth="1"/>
    <col min="15" max="15" width="10.140625" customWidth="1"/>
    <col min="16" max="16" width="12.28515625" customWidth="1"/>
    <col min="17" max="17" width="39.7109375" bestFit="1" customWidth="1"/>
  </cols>
  <sheetData>
    <row r="1" spans="1:16" ht="15.7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x14ac:dyDescent="0.2">
      <c r="A2" s="8" t="s">
        <v>1</v>
      </c>
      <c r="B2" s="4">
        <v>2006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2007</v>
      </c>
    </row>
    <row r="3" spans="1:16" ht="27.75" customHeight="1" x14ac:dyDescent="0.2">
      <c r="A3" s="8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25.5" x14ac:dyDescent="0.2">
      <c r="A4" s="35" t="s">
        <v>23</v>
      </c>
      <c r="B4" s="1"/>
      <c r="C4" s="11"/>
      <c r="D4" s="11"/>
      <c r="E4" s="11">
        <v>2500000</v>
      </c>
      <c r="F4" s="11"/>
      <c r="G4" s="11"/>
      <c r="H4" s="11"/>
      <c r="I4" s="20">
        <f>O7-E4</f>
        <v>3492113</v>
      </c>
      <c r="J4" s="9"/>
      <c r="K4" s="9"/>
      <c r="L4" s="9"/>
      <c r="M4" s="9"/>
      <c r="N4" s="9"/>
      <c r="O4" s="9"/>
    </row>
    <row r="5" spans="1:16" x14ac:dyDescent="0.2">
      <c r="A5" s="35" t="s">
        <v>24</v>
      </c>
      <c r="B5" s="1"/>
      <c r="C5" s="11"/>
      <c r="D5" s="11"/>
      <c r="E5" s="11"/>
      <c r="F5" s="11"/>
      <c r="G5" s="11"/>
      <c r="H5" s="11"/>
      <c r="I5" s="9"/>
      <c r="J5" s="9"/>
      <c r="K5" s="9"/>
      <c r="L5" s="9"/>
      <c r="M5" s="9"/>
      <c r="O5" s="9"/>
    </row>
    <row r="6" spans="1:16" x14ac:dyDescent="0.2">
      <c r="A6" s="8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s="3" t="s">
        <v>2</v>
      </c>
      <c r="B7" s="4"/>
      <c r="C7" s="14"/>
      <c r="D7" s="14"/>
      <c r="E7" s="14">
        <v>2500000</v>
      </c>
      <c r="F7" s="14"/>
      <c r="G7" s="11"/>
      <c r="H7" s="14"/>
      <c r="I7" s="20">
        <f>SUM(I4:I6)</f>
        <v>3492113</v>
      </c>
      <c r="J7" s="14"/>
      <c r="K7" s="14"/>
      <c r="L7" s="14"/>
      <c r="M7" s="14"/>
      <c r="N7" s="14"/>
      <c r="O7" s="14">
        <v>5992113</v>
      </c>
      <c r="P7" s="19" t="s">
        <v>22</v>
      </c>
    </row>
    <row r="8" spans="1:16" x14ac:dyDescent="0.2">
      <c r="D8" s="10"/>
      <c r="P8" s="12"/>
    </row>
    <row r="9" spans="1:16" x14ac:dyDescent="0.2">
      <c r="A9" s="110" t="s">
        <v>107</v>
      </c>
    </row>
    <row r="10" spans="1:16" ht="15.75" x14ac:dyDescent="0.25">
      <c r="A10" s="76" t="s">
        <v>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6" x14ac:dyDescent="0.2">
      <c r="A11" s="8" t="s">
        <v>1</v>
      </c>
      <c r="B11" s="4">
        <v>2006</v>
      </c>
      <c r="C11" s="4">
        <v>1</v>
      </c>
      <c r="D11" s="4">
        <v>2</v>
      </c>
      <c r="E11" s="4">
        <v>3</v>
      </c>
      <c r="F11" s="4">
        <v>4</v>
      </c>
      <c r="G11" s="4">
        <v>5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>
        <v>11</v>
      </c>
      <c r="N11" s="4">
        <v>12</v>
      </c>
      <c r="O11" s="4">
        <v>2007</v>
      </c>
    </row>
    <row r="12" spans="1:16" x14ac:dyDescent="0.2">
      <c r="A12" s="8" t="s">
        <v>4</v>
      </c>
      <c r="B12" s="1">
        <f>B7</f>
        <v>0</v>
      </c>
      <c r="C12" s="11">
        <f>C7</f>
        <v>0</v>
      </c>
      <c r="D12" s="11">
        <f>D7</f>
        <v>0</v>
      </c>
      <c r="E12" s="11">
        <f>E7</f>
        <v>2500000</v>
      </c>
      <c r="F12" s="11">
        <f>F7</f>
        <v>0</v>
      </c>
      <c r="G12" s="11"/>
      <c r="H12" s="11">
        <f>H7</f>
        <v>0</v>
      </c>
      <c r="I12" s="11">
        <f>I7</f>
        <v>3492113</v>
      </c>
      <c r="J12" s="11">
        <f>J7</f>
        <v>0</v>
      </c>
      <c r="K12" s="11">
        <f>K7</f>
        <v>0</v>
      </c>
      <c r="L12" s="11">
        <f>L7</f>
        <v>0</v>
      </c>
      <c r="M12" s="11">
        <f>M7</f>
        <v>0</v>
      </c>
      <c r="N12" s="11">
        <f>N7</f>
        <v>0</v>
      </c>
      <c r="O12" s="11">
        <f>O7</f>
        <v>5992113</v>
      </c>
    </row>
    <row r="13" spans="1:16" x14ac:dyDescent="0.2">
      <c r="A13" s="8"/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25.5" x14ac:dyDescent="0.2">
      <c r="A14" s="8" t="s">
        <v>5</v>
      </c>
      <c r="B14" s="1"/>
      <c r="C14" s="11">
        <f>C12*0.025</f>
        <v>0</v>
      </c>
      <c r="D14" s="11">
        <f>D12*0.025</f>
        <v>0</v>
      </c>
      <c r="E14" s="11">
        <v>7000</v>
      </c>
      <c r="F14" s="11">
        <v>0</v>
      </c>
      <c r="G14" s="11">
        <v>6500</v>
      </c>
      <c r="H14" s="11">
        <f>H12*0.025</f>
        <v>0</v>
      </c>
      <c r="I14" s="11">
        <v>6500</v>
      </c>
      <c r="J14" s="11">
        <f>J12*0.025</f>
        <v>0</v>
      </c>
      <c r="K14" s="11">
        <f>K12*0.025</f>
        <v>0</v>
      </c>
      <c r="L14" s="11">
        <v>0</v>
      </c>
      <c r="M14" s="11">
        <v>0</v>
      </c>
      <c r="N14" s="11">
        <f>N12*0.025</f>
        <v>0</v>
      </c>
      <c r="O14" s="11">
        <f>E14+G14+I14</f>
        <v>20000</v>
      </c>
    </row>
    <row r="15" spans="1:16" x14ac:dyDescent="0.2">
      <c r="A15" s="8"/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25.5" x14ac:dyDescent="0.2">
      <c r="A16" s="8" t="s">
        <v>6</v>
      </c>
      <c r="B16" s="1"/>
      <c r="C16" s="11">
        <f>SUM(C19,C17)</f>
        <v>51188</v>
      </c>
      <c r="D16" s="11">
        <f t="shared" ref="D16:N16" si="0">SUM(D19,D17)</f>
        <v>1283.04</v>
      </c>
      <c r="E16" s="11">
        <f t="shared" si="0"/>
        <v>16385.683199999999</v>
      </c>
      <c r="F16" s="11">
        <f t="shared" si="0"/>
        <v>1496.5378559999999</v>
      </c>
      <c r="G16" s="11">
        <f t="shared" si="0"/>
        <v>1616.26088448</v>
      </c>
      <c r="H16" s="11">
        <f t="shared" si="0"/>
        <v>21745.561755238399</v>
      </c>
      <c r="I16" s="11">
        <f t="shared" si="0"/>
        <v>21885.206695657471</v>
      </c>
      <c r="J16" s="11">
        <f t="shared" si="0"/>
        <v>2036.0232313100696</v>
      </c>
      <c r="K16" s="11">
        <f t="shared" si="0"/>
        <v>2198.9050898148753</v>
      </c>
      <c r="L16" s="11">
        <f t="shared" si="0"/>
        <v>2374.8174970000655</v>
      </c>
      <c r="M16" s="11">
        <f t="shared" si="0"/>
        <v>2564.8028967600708</v>
      </c>
      <c r="N16" s="11">
        <f t="shared" si="0"/>
        <v>2769.9871285008767</v>
      </c>
      <c r="O16" s="11">
        <f>SUM(C16:N16)</f>
        <v>127544.82623476183</v>
      </c>
      <c r="P16" s="6"/>
    </row>
    <row r="17" spans="1:17" x14ac:dyDescent="0.2">
      <c r="A17" s="35" t="s">
        <v>7</v>
      </c>
      <c r="B17" s="1"/>
      <c r="C17" s="11">
        <v>50000</v>
      </c>
      <c r="D17" s="11"/>
      <c r="E17" s="11">
        <v>15000</v>
      </c>
      <c r="F17" s="11"/>
      <c r="G17" s="11"/>
      <c r="H17" s="11">
        <v>20000</v>
      </c>
      <c r="I17" s="11">
        <v>20000</v>
      </c>
      <c r="J17" s="11"/>
      <c r="K17" s="11"/>
      <c r="L17" s="11"/>
      <c r="M17" s="11"/>
      <c r="N17" s="11"/>
      <c r="O17" s="11">
        <f>C17+E17+H17+I17</f>
        <v>105000</v>
      </c>
      <c r="P17" s="6"/>
    </row>
    <row r="18" spans="1:17" x14ac:dyDescent="0.2">
      <c r="A18" s="35" t="s">
        <v>8</v>
      </c>
      <c r="B18" s="1"/>
      <c r="C18" s="11"/>
      <c r="D18" s="11">
        <v>40000</v>
      </c>
      <c r="E18" s="11"/>
      <c r="F18" s="11"/>
      <c r="G18" s="11"/>
      <c r="H18" s="11"/>
      <c r="I18" s="11">
        <v>15000</v>
      </c>
      <c r="J18" s="11"/>
      <c r="K18" s="11"/>
      <c r="L18" s="11"/>
      <c r="M18" s="11">
        <v>20000</v>
      </c>
      <c r="N18" s="11">
        <v>10000</v>
      </c>
      <c r="O18" s="11">
        <f>D18+I18+M18+N18</f>
        <v>85000</v>
      </c>
      <c r="P18" s="6"/>
    </row>
    <row r="19" spans="1:17" x14ac:dyDescent="0.2">
      <c r="A19" s="35" t="s">
        <v>9</v>
      </c>
      <c r="B19" s="1"/>
      <c r="C19" s="11">
        <f>1100*Q20+1100</f>
        <v>1188</v>
      </c>
      <c r="D19" s="11">
        <f>C19*$Q$20+C19</f>
        <v>1283.04</v>
      </c>
      <c r="E19" s="11">
        <f t="shared" ref="E19:N19" si="1">D19*$Q$20+D19</f>
        <v>1385.6831999999999</v>
      </c>
      <c r="F19" s="11">
        <f t="shared" si="1"/>
        <v>1496.5378559999999</v>
      </c>
      <c r="G19" s="11">
        <f t="shared" si="1"/>
        <v>1616.26088448</v>
      </c>
      <c r="H19" s="11">
        <f t="shared" si="1"/>
        <v>1745.5617552383999</v>
      </c>
      <c r="I19" s="11">
        <f t="shared" si="1"/>
        <v>1885.2066956574718</v>
      </c>
      <c r="J19" s="11">
        <f t="shared" si="1"/>
        <v>2036.0232313100696</v>
      </c>
      <c r="K19" s="11">
        <f t="shared" si="1"/>
        <v>2198.9050898148753</v>
      </c>
      <c r="L19" s="11">
        <f t="shared" si="1"/>
        <v>2374.8174970000655</v>
      </c>
      <c r="M19" s="11">
        <f t="shared" si="1"/>
        <v>2564.8028967600708</v>
      </c>
      <c r="N19" s="11">
        <f t="shared" si="1"/>
        <v>2769.9871285008767</v>
      </c>
      <c r="O19" s="11">
        <f>SUM(C19:N19)</f>
        <v>22544.826234761829</v>
      </c>
      <c r="P19" s="6"/>
    </row>
    <row r="20" spans="1:17" x14ac:dyDescent="0.2">
      <c r="A20" s="8" t="s">
        <v>29</v>
      </c>
      <c r="B20" s="1"/>
      <c r="C20" s="9">
        <f>400*Q20+400</f>
        <v>432</v>
      </c>
      <c r="D20" s="11">
        <f>C20*$Q$20+C20</f>
        <v>466.56</v>
      </c>
      <c r="E20" s="11">
        <f t="shared" ref="E20:N20" si="2">D20*$Q$20+D20</f>
        <v>503.88479999999998</v>
      </c>
      <c r="F20" s="11">
        <f t="shared" si="2"/>
        <v>544.19558399999994</v>
      </c>
      <c r="G20" s="11">
        <f t="shared" si="2"/>
        <v>587.73123071999999</v>
      </c>
      <c r="H20" s="11">
        <f t="shared" si="2"/>
        <v>634.74972917759999</v>
      </c>
      <c r="I20" s="11">
        <f t="shared" si="2"/>
        <v>685.52970751180794</v>
      </c>
      <c r="J20" s="11">
        <f t="shared" si="2"/>
        <v>740.37208411275253</v>
      </c>
      <c r="K20" s="11">
        <f t="shared" si="2"/>
        <v>799.60185084177272</v>
      </c>
      <c r="L20" s="11">
        <f t="shared" si="2"/>
        <v>863.56999890911459</v>
      </c>
      <c r="M20" s="11">
        <f t="shared" si="2"/>
        <v>932.6555988218438</v>
      </c>
      <c r="N20" s="11">
        <f t="shared" si="2"/>
        <v>1007.2680467275914</v>
      </c>
      <c r="O20" s="37">
        <f>SUM(C20:N20)</f>
        <v>8198.1186308224824</v>
      </c>
      <c r="P20" s="6"/>
      <c r="Q20">
        <v>0.08</v>
      </c>
    </row>
    <row r="21" spans="1:17" ht="25.5" x14ac:dyDescent="0.2">
      <c r="A21" s="8" t="s">
        <v>10</v>
      </c>
      <c r="B21" s="1"/>
      <c r="C21" s="11">
        <f>C14+C16</f>
        <v>51188</v>
      </c>
      <c r="D21" s="11">
        <f t="shared" ref="D21:O21" si="3">D14+D16</f>
        <v>1283.04</v>
      </c>
      <c r="E21" s="11">
        <f t="shared" si="3"/>
        <v>23385.683199999999</v>
      </c>
      <c r="F21" s="11">
        <f t="shared" si="3"/>
        <v>1496.5378559999999</v>
      </c>
      <c r="G21" s="11">
        <f t="shared" si="3"/>
        <v>8116.2608844799997</v>
      </c>
      <c r="H21" s="11">
        <f t="shared" si="3"/>
        <v>21745.561755238399</v>
      </c>
      <c r="I21" s="11">
        <f t="shared" si="3"/>
        <v>28385.206695657471</v>
      </c>
      <c r="J21" s="11">
        <f t="shared" si="3"/>
        <v>2036.0232313100696</v>
      </c>
      <c r="K21" s="11">
        <f t="shared" si="3"/>
        <v>2198.9050898148753</v>
      </c>
      <c r="L21" s="11">
        <f t="shared" si="3"/>
        <v>2374.8174970000655</v>
      </c>
      <c r="M21" s="11">
        <f t="shared" si="3"/>
        <v>2564.8028967600708</v>
      </c>
      <c r="N21" s="11">
        <f t="shared" si="3"/>
        <v>2769.9871285008767</v>
      </c>
      <c r="O21" s="11">
        <f t="shared" si="3"/>
        <v>147544.82623476183</v>
      </c>
    </row>
    <row r="22" spans="1:17" s="6" customFormat="1" ht="25.5" customHeight="1" x14ac:dyDescent="0.2">
      <c r="A22" s="5"/>
      <c r="P22" s="21"/>
    </row>
    <row r="23" spans="1:17" s="6" customFormat="1" ht="15.75" x14ac:dyDescent="0.25">
      <c r="A23" s="76" t="s">
        <v>11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/>
    </row>
    <row r="24" spans="1:17" s="6" customFormat="1" x14ac:dyDescent="0.2">
      <c r="A24" s="8" t="s">
        <v>1</v>
      </c>
      <c r="B24" s="4">
        <v>2006</v>
      </c>
      <c r="C24" s="4">
        <v>1</v>
      </c>
      <c r="D24" s="4">
        <v>2</v>
      </c>
      <c r="E24" s="4">
        <v>3</v>
      </c>
      <c r="F24" s="4">
        <v>4</v>
      </c>
      <c r="G24" s="4">
        <v>5</v>
      </c>
      <c r="H24" s="4">
        <v>6</v>
      </c>
      <c r="I24" s="4">
        <v>7</v>
      </c>
      <c r="J24" s="4">
        <v>8</v>
      </c>
      <c r="K24" s="4">
        <v>9</v>
      </c>
      <c r="L24" s="4">
        <v>10</v>
      </c>
      <c r="M24" s="4">
        <v>11</v>
      </c>
      <c r="N24" s="4">
        <v>12</v>
      </c>
      <c r="O24" s="4">
        <v>2007</v>
      </c>
      <c r="P24"/>
    </row>
    <row r="25" spans="1:17" s="6" customFormat="1" x14ac:dyDescent="0.2">
      <c r="A25" s="35" t="s">
        <v>26</v>
      </c>
      <c r="B25" s="1"/>
      <c r="C25" s="11"/>
      <c r="D25" s="11"/>
      <c r="E25" s="11">
        <f>727611.125*0.9*1.18</f>
        <v>772723.01475000009</v>
      </c>
      <c r="F25" s="11">
        <f>1908646*0.9*1.18</f>
        <v>2026982.0520000001</v>
      </c>
      <c r="G25" s="11">
        <f>1421979*0.9*1.18</f>
        <v>1510141.6980000001</v>
      </c>
      <c r="H25" s="11">
        <f>621620.0996*0.9*1.18</f>
        <v>660160.54577520001</v>
      </c>
      <c r="I25" s="9">
        <f>392205.8*0.9*1.18</f>
        <v>416522.55959999992</v>
      </c>
      <c r="J25" s="9"/>
      <c r="K25" s="9"/>
      <c r="L25" s="9"/>
      <c r="M25" s="9"/>
      <c r="N25" s="9"/>
      <c r="O25" s="11">
        <f>SUM(E25:N25)</f>
        <v>5386529.8701252006</v>
      </c>
      <c r="P25"/>
    </row>
    <row r="26" spans="1:17" x14ac:dyDescent="0.2">
      <c r="A26" s="35" t="s">
        <v>27</v>
      </c>
      <c r="B26" s="1"/>
      <c r="C26" s="11"/>
      <c r="D26" s="11"/>
      <c r="E26" s="11"/>
      <c r="F26" s="11"/>
      <c r="G26" s="11"/>
      <c r="H26" s="11"/>
      <c r="I26" s="9">
        <f>176797*0.9*1.18</f>
        <v>187758.41400000002</v>
      </c>
      <c r="J26" s="9"/>
      <c r="K26" s="9"/>
      <c r="L26" s="9"/>
      <c r="M26" s="9"/>
      <c r="N26" s="9"/>
      <c r="O26" s="9">
        <f>SUM(I26:N26)</f>
        <v>187758.41400000002</v>
      </c>
    </row>
    <row r="27" spans="1:17" x14ac:dyDescent="0.2">
      <c r="A27" s="8" t="s">
        <v>28</v>
      </c>
      <c r="B27" s="1"/>
      <c r="C27" s="1"/>
      <c r="D27" s="1"/>
      <c r="E27" s="11">
        <f>727611.125*0.9*1.18</f>
        <v>772723.01475000009</v>
      </c>
      <c r="F27" s="11">
        <f>1908646*0.9*1.18</f>
        <v>2026982.0520000001</v>
      </c>
      <c r="G27" s="11">
        <f>1421979*0.9*1.18</f>
        <v>1510141.6980000001</v>
      </c>
      <c r="H27" s="11">
        <f>621620.0996*0.9*1.18</f>
        <v>660160.54577520001</v>
      </c>
      <c r="I27" s="22">
        <f>SUM(I25:I26)</f>
        <v>604280.97359999991</v>
      </c>
      <c r="J27" s="1"/>
      <c r="K27" s="1"/>
      <c r="L27" s="1"/>
      <c r="M27" s="1"/>
      <c r="N27" s="1"/>
      <c r="O27" s="104">
        <f>SUM(E27:N27)</f>
        <v>5574288.2841252005</v>
      </c>
      <c r="P27" s="106" t="s">
        <v>99</v>
      </c>
    </row>
    <row r="28" spans="1:17" ht="76.5" x14ac:dyDescent="0.2">
      <c r="A28" s="105" t="s">
        <v>100</v>
      </c>
      <c r="B28" s="13"/>
      <c r="C28" s="13"/>
      <c r="D28" s="13"/>
      <c r="E28" s="24"/>
      <c r="F28" s="24"/>
      <c r="G28" s="24"/>
      <c r="H28" s="24"/>
      <c r="I28" s="25"/>
      <c r="J28" s="13"/>
      <c r="K28" s="13"/>
      <c r="L28" s="13"/>
      <c r="M28" s="13"/>
      <c r="N28" s="13"/>
      <c r="O28" s="26"/>
      <c r="P28" s="21"/>
    </row>
    <row r="29" spans="1:17" ht="12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7" ht="15.75" x14ac:dyDescent="0.25">
      <c r="A30" s="77" t="s">
        <v>13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7" x14ac:dyDescent="0.2">
      <c r="A31" s="8" t="s">
        <v>1</v>
      </c>
      <c r="B31" s="4">
        <v>2006</v>
      </c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N31" s="4">
        <v>12</v>
      </c>
      <c r="O31" s="4">
        <v>2007</v>
      </c>
    </row>
    <row r="32" spans="1:17" x14ac:dyDescent="0.2">
      <c r="A32" s="8" t="s">
        <v>30</v>
      </c>
      <c r="B32" s="1"/>
      <c r="C32" s="9"/>
      <c r="D32" s="9"/>
      <c r="E32" s="11">
        <f>727611.125*0.9*1.18</f>
        <v>772723.01475000009</v>
      </c>
      <c r="F32" s="11">
        <f>1908646*0.9*1.18</f>
        <v>2026982.0520000001</v>
      </c>
      <c r="G32" s="11">
        <f>1421979*0.9*1.18</f>
        <v>1510141.6980000001</v>
      </c>
      <c r="H32" s="11">
        <f>621620.0996*0.9*1.18</f>
        <v>660160.54577520001</v>
      </c>
      <c r="I32" s="22">
        <v>604280.97</v>
      </c>
      <c r="J32" s="9"/>
      <c r="K32" s="9"/>
      <c r="L32" s="9"/>
      <c r="M32" s="9"/>
      <c r="N32" s="9"/>
      <c r="O32" s="11">
        <f>SUM(E32:I32)</f>
        <v>5574288.2805252001</v>
      </c>
    </row>
    <row r="33" spans="1:16" x14ac:dyDescent="0.2">
      <c r="A33" s="3" t="s">
        <v>31</v>
      </c>
      <c r="B33" s="1"/>
      <c r="C33" s="11"/>
      <c r="D33" s="11"/>
      <c r="E33" s="38">
        <v>2E-3</v>
      </c>
      <c r="F33" s="38">
        <v>2E-3</v>
      </c>
      <c r="G33" s="38">
        <v>2E-3</v>
      </c>
      <c r="H33" s="38">
        <v>2E-3</v>
      </c>
      <c r="I33" s="38">
        <v>2E-3</v>
      </c>
      <c r="J33" s="11"/>
      <c r="K33" s="11"/>
      <c r="L33" s="11"/>
      <c r="M33" s="11"/>
      <c r="N33" s="11"/>
      <c r="O33" s="9">
        <f>O4</f>
        <v>0</v>
      </c>
      <c r="P33" s="19" t="s">
        <v>52</v>
      </c>
    </row>
    <row r="34" spans="1:16" x14ac:dyDescent="0.2">
      <c r="A34" s="3" t="s">
        <v>101</v>
      </c>
      <c r="B34" s="1"/>
      <c r="C34" s="11"/>
      <c r="D34" s="11"/>
      <c r="E34" s="11">
        <f>E32*E33</f>
        <v>1545.4460295000001</v>
      </c>
      <c r="F34" s="11">
        <f>F32*F33</f>
        <v>4053.9641040000006</v>
      </c>
      <c r="G34" s="11">
        <f>G32*G33</f>
        <v>3020.2833960000003</v>
      </c>
      <c r="H34" s="11">
        <f>H32*H33</f>
        <v>1320.3210915504001</v>
      </c>
      <c r="I34" s="11">
        <f>I32*I33</f>
        <v>1208.56194</v>
      </c>
      <c r="J34" s="11"/>
      <c r="K34" s="11"/>
      <c r="L34" s="11"/>
      <c r="M34" s="11"/>
      <c r="N34" s="11"/>
      <c r="O34" s="11">
        <f>SUM(E34:N34)</f>
        <v>11148.5765610504</v>
      </c>
    </row>
    <row r="35" spans="1:16" ht="51" x14ac:dyDescent="0.2">
      <c r="A35" s="105" t="s">
        <v>105</v>
      </c>
      <c r="B35" s="13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6" x14ac:dyDescent="0.2">
      <c r="A36" s="23"/>
      <c r="B36" s="13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6" ht="18.75" x14ac:dyDescent="0.3">
      <c r="A37" s="23"/>
      <c r="B37" s="13"/>
      <c r="C37" s="78" t="s">
        <v>44</v>
      </c>
      <c r="D37" s="79"/>
      <c r="E37" s="79"/>
      <c r="F37" s="79"/>
      <c r="G37" s="79"/>
      <c r="H37" s="79"/>
      <c r="I37" s="79"/>
      <c r="J37" s="79"/>
      <c r="K37" s="79"/>
      <c r="L37" s="27"/>
      <c r="M37" s="27"/>
      <c r="N37" s="27"/>
      <c r="O37" s="27"/>
    </row>
    <row r="38" spans="1:16" x14ac:dyDescent="0.2">
      <c r="A38" s="8">
        <v>2006</v>
      </c>
      <c r="B38" s="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4">
        <v>2007</v>
      </c>
      <c r="O38" s="27"/>
    </row>
    <row r="39" spans="1:16" x14ac:dyDescent="0.2">
      <c r="A39" s="8" t="s">
        <v>1</v>
      </c>
      <c r="B39" s="4" t="s">
        <v>32</v>
      </c>
      <c r="C39" s="4" t="s">
        <v>33</v>
      </c>
      <c r="D39" s="4" t="s">
        <v>34</v>
      </c>
      <c r="E39" s="4" t="s">
        <v>35</v>
      </c>
      <c r="F39" s="4" t="s">
        <v>36</v>
      </c>
      <c r="G39" s="4" t="s">
        <v>37</v>
      </c>
      <c r="H39" s="4" t="s">
        <v>38</v>
      </c>
      <c r="I39" s="4" t="s">
        <v>39</v>
      </c>
      <c r="J39" s="4" t="s">
        <v>40</v>
      </c>
      <c r="K39" s="4" t="s">
        <v>41</v>
      </c>
      <c r="L39" s="4" t="s">
        <v>42</v>
      </c>
      <c r="M39" s="4" t="s">
        <v>43</v>
      </c>
      <c r="N39" s="9"/>
      <c r="O39" s="27"/>
    </row>
    <row r="40" spans="1:16" x14ac:dyDescent="0.2">
      <c r="A40" s="8" t="s">
        <v>45</v>
      </c>
      <c r="B40" s="107">
        <v>18000</v>
      </c>
      <c r="C40" s="107">
        <v>18000</v>
      </c>
      <c r="D40" s="28">
        <v>70240.206999999995</v>
      </c>
      <c r="E40" s="28">
        <v>154109.90650000001</v>
      </c>
      <c r="F40" s="28">
        <v>128472.12</v>
      </c>
      <c r="G40" s="28">
        <v>107864.5074</v>
      </c>
      <c r="H40" s="28">
        <v>64285.7549</v>
      </c>
      <c r="I40" s="28">
        <v>18000</v>
      </c>
      <c r="J40" s="28">
        <v>18000</v>
      </c>
      <c r="K40" s="28">
        <v>18000</v>
      </c>
      <c r="L40" s="28">
        <v>18000</v>
      </c>
      <c r="M40" s="28">
        <v>18000</v>
      </c>
      <c r="N40" s="28">
        <f t="shared" ref="N40:N43" si="4">SUM(B40:M40)</f>
        <v>650972.49579999992</v>
      </c>
      <c r="O40" s="27"/>
    </row>
    <row r="41" spans="1:16" ht="12.75" customHeight="1" x14ac:dyDescent="0.2">
      <c r="A41" s="8" t="s">
        <v>65</v>
      </c>
      <c r="B41" s="107">
        <v>10000</v>
      </c>
      <c r="C41" s="107">
        <v>10000</v>
      </c>
      <c r="D41" s="28">
        <v>31716.543799999999</v>
      </c>
      <c r="E41" s="28">
        <v>91887.166400000002</v>
      </c>
      <c r="F41" s="28">
        <v>248098.04250000001</v>
      </c>
      <c r="G41" s="28">
        <v>82768.136899999998</v>
      </c>
      <c r="H41" s="28">
        <v>37079.840600000003</v>
      </c>
      <c r="I41" s="28">
        <v>10000</v>
      </c>
      <c r="J41" s="28">
        <v>10000</v>
      </c>
      <c r="K41" s="28">
        <v>10000</v>
      </c>
      <c r="L41" s="28">
        <v>10000</v>
      </c>
      <c r="M41" s="28">
        <v>10000</v>
      </c>
      <c r="N41" s="1">
        <f t="shared" si="4"/>
        <v>561549.73019999999</v>
      </c>
      <c r="P41" s="7"/>
    </row>
    <row r="42" spans="1:16" ht="12.75" customHeight="1" x14ac:dyDescent="0.2">
      <c r="A42" s="8" t="s">
        <v>46</v>
      </c>
      <c r="B42" s="107">
        <v>14000</v>
      </c>
      <c r="C42" s="107">
        <v>14000</v>
      </c>
      <c r="D42" s="28">
        <v>14000</v>
      </c>
      <c r="E42" s="28">
        <v>14000</v>
      </c>
      <c r="F42" s="28">
        <v>14000</v>
      </c>
      <c r="G42" s="28">
        <v>14000</v>
      </c>
      <c r="H42" s="28">
        <v>14000</v>
      </c>
      <c r="I42" s="28">
        <v>14000</v>
      </c>
      <c r="J42" s="28">
        <v>14000</v>
      </c>
      <c r="K42" s="28">
        <v>14000</v>
      </c>
      <c r="L42" s="28">
        <v>14000</v>
      </c>
      <c r="M42" s="28">
        <v>14000</v>
      </c>
      <c r="N42" s="1">
        <f t="shared" si="4"/>
        <v>168000</v>
      </c>
      <c r="P42" s="7"/>
    </row>
    <row r="43" spans="1:16" ht="12.75" customHeight="1" x14ac:dyDescent="0.2">
      <c r="A43" s="39" t="s">
        <v>47</v>
      </c>
      <c r="B43" s="108">
        <f>SUM(B40:B42)</f>
        <v>42000</v>
      </c>
      <c r="C43" s="108">
        <f>C40+C41+C42</f>
        <v>42000</v>
      </c>
      <c r="D43" s="40">
        <f>D42+D41+D40</f>
        <v>115956.75079999999</v>
      </c>
      <c r="E43" s="40">
        <f t="shared" ref="E43:L43" si="5">SUM(E40:E42)</f>
        <v>259997.07290000003</v>
      </c>
      <c r="F43" s="40">
        <f t="shared" si="5"/>
        <v>390570.16249999998</v>
      </c>
      <c r="G43" s="40">
        <f t="shared" si="5"/>
        <v>204632.64429999999</v>
      </c>
      <c r="H43" s="40">
        <f t="shared" si="5"/>
        <v>115365.5955</v>
      </c>
      <c r="I43" s="40">
        <f t="shared" si="5"/>
        <v>42000</v>
      </c>
      <c r="J43" s="40">
        <f t="shared" si="5"/>
        <v>42000</v>
      </c>
      <c r="K43" s="40">
        <f t="shared" si="5"/>
        <v>42000</v>
      </c>
      <c r="L43" s="40">
        <f t="shared" si="5"/>
        <v>42000</v>
      </c>
      <c r="M43" s="40">
        <v>42000</v>
      </c>
      <c r="N43" s="41">
        <f t="shared" si="4"/>
        <v>1380522.226</v>
      </c>
      <c r="P43" s="7"/>
    </row>
    <row r="44" spans="1:16" ht="12.75" customHeight="1" x14ac:dyDescent="0.2">
      <c r="A44" s="5"/>
      <c r="B44" s="6"/>
      <c r="C44" s="6"/>
      <c r="P44" s="7"/>
    </row>
    <row r="45" spans="1:16" ht="38.25" x14ac:dyDescent="0.2">
      <c r="A45" s="5" t="s">
        <v>102</v>
      </c>
      <c r="B45" s="6"/>
      <c r="C45" s="6"/>
    </row>
    <row r="46" spans="1:16" ht="76.5" x14ac:dyDescent="0.2">
      <c r="A46" s="5" t="s">
        <v>103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75" x14ac:dyDescent="0.25">
      <c r="A47" s="77" t="s">
        <v>14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6"/>
    </row>
    <row r="48" spans="1:16" x14ac:dyDescent="0.2">
      <c r="A48" s="8" t="s">
        <v>1</v>
      </c>
      <c r="B48" s="4">
        <v>2006</v>
      </c>
      <c r="C48" s="4">
        <v>1</v>
      </c>
      <c r="D48" s="4">
        <v>2</v>
      </c>
      <c r="E48" s="4">
        <v>3</v>
      </c>
      <c r="F48" s="4">
        <v>4</v>
      </c>
      <c r="G48" s="4">
        <v>5</v>
      </c>
      <c r="H48" s="4">
        <v>6</v>
      </c>
      <c r="I48" s="4">
        <v>7</v>
      </c>
      <c r="J48" s="4">
        <v>8</v>
      </c>
      <c r="K48" s="4">
        <v>9</v>
      </c>
      <c r="L48" s="4">
        <v>10</v>
      </c>
      <c r="M48" s="4">
        <v>11</v>
      </c>
      <c r="N48" s="4">
        <v>12</v>
      </c>
      <c r="O48" s="4">
        <v>2007</v>
      </c>
      <c r="P48" s="6"/>
    </row>
    <row r="49" spans="1:16" ht="14.25" customHeight="1" x14ac:dyDescent="0.2">
      <c r="A49" s="8" t="s">
        <v>51</v>
      </c>
      <c r="B49" s="1"/>
      <c r="C49" s="11"/>
      <c r="D49" s="11"/>
      <c r="E49" s="11">
        <f>727611.125*0.9*1.18</f>
        <v>772723.01475000009</v>
      </c>
      <c r="F49" s="11">
        <f>1908646*0.9*1.18</f>
        <v>2026982.0520000001</v>
      </c>
      <c r="G49" s="11">
        <f>1421979*0.9*1.18</f>
        <v>1510141.6980000001</v>
      </c>
      <c r="H49" s="11">
        <f>621620.0996*0.9*1.18</f>
        <v>660160.54577520001</v>
      </c>
      <c r="I49" s="22">
        <v>604280.97</v>
      </c>
      <c r="J49" s="11"/>
      <c r="K49" s="11"/>
      <c r="L49" s="11"/>
      <c r="M49" s="11"/>
      <c r="N49" s="11"/>
      <c r="O49" s="11">
        <f>SUM(E49:N49)</f>
        <v>5574288.2805252001</v>
      </c>
      <c r="P49" s="6"/>
    </row>
    <row r="50" spans="1:16" x14ac:dyDescent="0.2">
      <c r="A50" s="8" t="s">
        <v>93</v>
      </c>
      <c r="B50" s="1"/>
      <c r="C50" s="9">
        <v>4.0000000000000001E-3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6" s="6" customFormat="1" ht="26.25" customHeight="1" x14ac:dyDescent="0.2">
      <c r="A51" s="8" t="s">
        <v>94</v>
      </c>
      <c r="B51" s="1"/>
      <c r="C51" s="9"/>
      <c r="D51" s="9"/>
      <c r="E51" s="11">
        <f>E49*C50</f>
        <v>3090.8920590000002</v>
      </c>
      <c r="F51" s="11">
        <f>F49*C50</f>
        <v>8107.9282080000012</v>
      </c>
      <c r="G51" s="11">
        <f>G49*C50</f>
        <v>6040.5667920000005</v>
      </c>
      <c r="H51" s="11">
        <f>H49*C50</f>
        <v>2640.6421831008001</v>
      </c>
      <c r="I51" s="11">
        <f>I49*C50</f>
        <v>2417.1238800000001</v>
      </c>
      <c r="J51" s="9"/>
      <c r="K51" s="9"/>
      <c r="L51" s="9"/>
      <c r="M51" s="9"/>
      <c r="N51" s="9"/>
      <c r="O51" s="9">
        <f>SUM(E51:N51)</f>
        <v>22297.153122100801</v>
      </c>
      <c r="P51"/>
    </row>
    <row r="52" spans="1:16" s="6" customFormat="1" ht="25.5" x14ac:dyDescent="0.2">
      <c r="A52" s="3" t="s">
        <v>16</v>
      </c>
      <c r="B52" s="1"/>
      <c r="C52" s="11">
        <f>SUM(C53:C54)</f>
        <v>38557</v>
      </c>
      <c r="D52" s="11">
        <f t="shared" ref="D52:N52" si="6">SUM(D53:D54)</f>
        <v>38561.32</v>
      </c>
      <c r="E52" s="11">
        <f t="shared" si="6"/>
        <v>38565.64</v>
      </c>
      <c r="F52" s="11">
        <f t="shared" si="6"/>
        <v>38569.96</v>
      </c>
      <c r="G52" s="11">
        <f t="shared" si="6"/>
        <v>38574.28</v>
      </c>
      <c r="H52" s="11">
        <f t="shared" si="6"/>
        <v>38578.6</v>
      </c>
      <c r="I52" s="11">
        <f t="shared" si="6"/>
        <v>38582.92</v>
      </c>
      <c r="J52" s="11">
        <f t="shared" si="6"/>
        <v>38587.24</v>
      </c>
      <c r="K52" s="11">
        <f t="shared" si="6"/>
        <v>38591.56</v>
      </c>
      <c r="L52" s="11">
        <f t="shared" si="6"/>
        <v>38595.879999999997</v>
      </c>
      <c r="M52" s="11">
        <f t="shared" si="6"/>
        <v>38600.199999999997</v>
      </c>
      <c r="N52" s="11">
        <f t="shared" si="6"/>
        <v>38604.519999999997</v>
      </c>
      <c r="O52" s="11">
        <f>SUM(C52:N52)</f>
        <v>462969.12000000005</v>
      </c>
      <c r="P52"/>
    </row>
    <row r="53" spans="1:16" x14ac:dyDescent="0.2">
      <c r="A53" s="3" t="s">
        <v>15</v>
      </c>
      <c r="B53" s="1"/>
      <c r="C53" s="11">
        <v>37801</v>
      </c>
      <c r="D53" s="11">
        <v>37801</v>
      </c>
      <c r="E53" s="11">
        <v>37801</v>
      </c>
      <c r="F53" s="11">
        <v>37801</v>
      </c>
      <c r="G53" s="11">
        <v>37801</v>
      </c>
      <c r="H53" s="11">
        <v>37801</v>
      </c>
      <c r="I53" s="11">
        <v>37801</v>
      </c>
      <c r="J53" s="11">
        <v>37801</v>
      </c>
      <c r="K53" s="11">
        <v>37801</v>
      </c>
      <c r="L53" s="11">
        <v>37801</v>
      </c>
      <c r="M53" s="11">
        <v>37801</v>
      </c>
      <c r="N53" s="11">
        <v>37801</v>
      </c>
      <c r="O53" s="11">
        <f>SUM(C53:N53)</f>
        <v>453612</v>
      </c>
    </row>
    <row r="54" spans="1:16" x14ac:dyDescent="0.2">
      <c r="A54" s="3" t="s">
        <v>9</v>
      </c>
      <c r="B54" s="1"/>
      <c r="C54" s="11">
        <f>700*0.08+700</f>
        <v>756</v>
      </c>
      <c r="D54" s="11">
        <f>704*1.08</f>
        <v>760.32</v>
      </c>
      <c r="E54" s="11">
        <f>708*1.08</f>
        <v>764.6400000000001</v>
      </c>
      <c r="F54" s="11">
        <f>712*1.08</f>
        <v>768.96</v>
      </c>
      <c r="G54" s="11">
        <f>716*1.08</f>
        <v>773.28000000000009</v>
      </c>
      <c r="H54" s="11">
        <f>720*1.08</f>
        <v>777.6</v>
      </c>
      <c r="I54" s="11">
        <f>724*1.08</f>
        <v>781.92000000000007</v>
      </c>
      <c r="J54" s="11">
        <f>728*1.08</f>
        <v>786.24</v>
      </c>
      <c r="K54" s="11">
        <f>732*1.08</f>
        <v>790.56000000000006</v>
      </c>
      <c r="L54" s="11">
        <f>736*1.08</f>
        <v>794.88000000000011</v>
      </c>
      <c r="M54" s="11">
        <f>740*1.08</f>
        <v>799.2</v>
      </c>
      <c r="N54" s="11">
        <f>744*1.08</f>
        <v>803.5200000000001</v>
      </c>
      <c r="O54" s="11">
        <f>SUM(C54:N54)</f>
        <v>9357.1200000000008</v>
      </c>
    </row>
    <row r="55" spans="1:16" ht="24.75" customHeight="1" x14ac:dyDescent="0.2">
      <c r="A55" s="35" t="s">
        <v>17</v>
      </c>
      <c r="B55" s="1"/>
      <c r="C55" s="11">
        <f>SUM(C51:C52)</f>
        <v>38557</v>
      </c>
      <c r="D55" s="11">
        <f t="shared" ref="D55:N55" si="7">SUM(D51:D52)</f>
        <v>38561.32</v>
      </c>
      <c r="E55" s="11">
        <f t="shared" si="7"/>
        <v>41656.532058999997</v>
      </c>
      <c r="F55" s="11">
        <f t="shared" si="7"/>
        <v>46677.888208000004</v>
      </c>
      <c r="G55" s="11">
        <f t="shared" si="7"/>
        <v>44614.846791999997</v>
      </c>
      <c r="H55" s="11">
        <f t="shared" si="7"/>
        <v>41219.242183100796</v>
      </c>
      <c r="I55" s="11">
        <f t="shared" si="7"/>
        <v>41000.043879999997</v>
      </c>
      <c r="J55" s="11">
        <f t="shared" si="7"/>
        <v>38587.24</v>
      </c>
      <c r="K55" s="11">
        <f t="shared" si="7"/>
        <v>38591.56</v>
      </c>
      <c r="L55" s="11">
        <f t="shared" si="7"/>
        <v>38595.879999999997</v>
      </c>
      <c r="M55" s="11">
        <f t="shared" si="7"/>
        <v>38600.199999999997</v>
      </c>
      <c r="N55" s="11">
        <f t="shared" si="7"/>
        <v>38604.519999999997</v>
      </c>
      <c r="O55" s="11">
        <f>SUM(C55:N55)</f>
        <v>485266.2731221008</v>
      </c>
    </row>
    <row r="56" spans="1:16" x14ac:dyDescent="0.2">
      <c r="A56" s="35"/>
      <c r="B56" s="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6" ht="63.75" x14ac:dyDescent="0.2">
      <c r="A57" s="109" t="s">
        <v>104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02" x14ac:dyDescent="0.2">
      <c r="A58" s="110" t="s">
        <v>106</v>
      </c>
    </row>
    <row r="59" spans="1:16" ht="15.75" x14ac:dyDescent="0.25">
      <c r="A59" s="77" t="s">
        <v>18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16" x14ac:dyDescent="0.2">
      <c r="A60" s="8" t="s">
        <v>1</v>
      </c>
      <c r="B60" s="4">
        <v>2006</v>
      </c>
      <c r="C60" s="4">
        <v>1</v>
      </c>
      <c r="D60" s="4">
        <v>2</v>
      </c>
      <c r="E60" s="4">
        <v>3</v>
      </c>
      <c r="F60" s="4">
        <v>4</v>
      </c>
      <c r="G60" s="4">
        <v>5</v>
      </c>
      <c r="H60" s="4">
        <v>6</v>
      </c>
      <c r="I60" s="4">
        <v>7</v>
      </c>
      <c r="J60" s="4">
        <v>8</v>
      </c>
      <c r="K60" s="4">
        <v>9</v>
      </c>
      <c r="L60" s="4">
        <v>10</v>
      </c>
      <c r="M60" s="4">
        <v>11</v>
      </c>
      <c r="N60" s="4">
        <v>12</v>
      </c>
      <c r="O60" s="4">
        <v>2007</v>
      </c>
    </row>
    <row r="61" spans="1:16" x14ac:dyDescent="0.2">
      <c r="A61" s="3" t="s">
        <v>15</v>
      </c>
      <c r="B61" s="1"/>
      <c r="C61" s="7">
        <v>16188.21667</v>
      </c>
      <c r="D61" s="7">
        <v>16188.21667</v>
      </c>
      <c r="E61" s="7">
        <v>16188.21667</v>
      </c>
      <c r="F61" s="7">
        <v>16188.21667</v>
      </c>
      <c r="G61" s="7">
        <v>16188.21667</v>
      </c>
      <c r="H61" s="7">
        <v>16188.21667</v>
      </c>
      <c r="I61" s="7">
        <v>16188.21667</v>
      </c>
      <c r="J61" s="7">
        <v>16188.21667</v>
      </c>
      <c r="K61" s="7">
        <v>16188.21667</v>
      </c>
      <c r="L61" s="7">
        <v>16188.21667</v>
      </c>
      <c r="M61" s="7">
        <v>16188.21667</v>
      </c>
      <c r="N61" s="7">
        <v>16188.21667</v>
      </c>
      <c r="O61" s="11">
        <f t="shared" ref="O61:O65" si="8">SUM(C61:N61)</f>
        <v>194258.60003999996</v>
      </c>
    </row>
    <row r="62" spans="1:16" x14ac:dyDescent="0.2">
      <c r="A62" s="3" t="s">
        <v>19</v>
      </c>
      <c r="B62" s="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f t="shared" si="8"/>
        <v>0</v>
      </c>
    </row>
    <row r="63" spans="1:16" x14ac:dyDescent="0.2">
      <c r="A63" s="3" t="s">
        <v>112</v>
      </c>
      <c r="B63" s="1"/>
      <c r="C63" s="11">
        <v>500</v>
      </c>
      <c r="D63" s="11">
        <v>500</v>
      </c>
      <c r="E63" s="11">
        <v>500</v>
      </c>
      <c r="F63" s="11">
        <v>500</v>
      </c>
      <c r="G63" s="11">
        <v>500</v>
      </c>
      <c r="H63" s="11">
        <v>500</v>
      </c>
      <c r="I63" s="11">
        <v>500</v>
      </c>
      <c r="J63" s="11">
        <v>500</v>
      </c>
      <c r="K63" s="11">
        <v>500</v>
      </c>
      <c r="L63" s="11">
        <v>500</v>
      </c>
      <c r="M63" s="11">
        <v>500</v>
      </c>
      <c r="N63" s="11">
        <v>500</v>
      </c>
      <c r="O63" s="11">
        <f t="shared" si="8"/>
        <v>6000</v>
      </c>
      <c r="P63" s="6"/>
    </row>
    <row r="64" spans="1:16" x14ac:dyDescent="0.2">
      <c r="A64" s="3" t="s">
        <v>113</v>
      </c>
      <c r="B64" s="1"/>
      <c r="C64" s="11">
        <v>1000</v>
      </c>
      <c r="D64" s="11">
        <v>1000</v>
      </c>
      <c r="E64" s="11">
        <v>1000</v>
      </c>
      <c r="F64" s="11">
        <v>1000</v>
      </c>
      <c r="G64" s="11">
        <v>1000</v>
      </c>
      <c r="H64" s="11">
        <v>1000</v>
      </c>
      <c r="I64" s="11">
        <v>1000</v>
      </c>
      <c r="J64" s="11">
        <v>1000</v>
      </c>
      <c r="K64" s="11">
        <v>1000</v>
      </c>
      <c r="L64" s="11">
        <v>1000</v>
      </c>
      <c r="M64" s="11">
        <v>1000</v>
      </c>
      <c r="N64" s="11">
        <v>1000</v>
      </c>
      <c r="O64" s="11">
        <f t="shared" si="8"/>
        <v>12000</v>
      </c>
      <c r="P64" s="6"/>
    </row>
    <row r="65" spans="1:17" x14ac:dyDescent="0.2">
      <c r="A65" s="3" t="s">
        <v>20</v>
      </c>
      <c r="B65" s="1"/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f t="shared" si="8"/>
        <v>0</v>
      </c>
      <c r="P65" s="6"/>
      <c r="Q65" s="16">
        <v>1E-3</v>
      </c>
    </row>
    <row r="66" spans="1:17" x14ac:dyDescent="0.2">
      <c r="A66" s="3" t="s">
        <v>109</v>
      </c>
      <c r="B66" s="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6"/>
      <c r="Q66" s="42"/>
    </row>
    <row r="67" spans="1:17" ht="12.75" customHeight="1" x14ac:dyDescent="0.2">
      <c r="A67" s="111" t="s">
        <v>48</v>
      </c>
      <c r="B67" s="28"/>
      <c r="C67" s="28"/>
      <c r="D67" s="28"/>
      <c r="E67" s="30"/>
      <c r="F67" s="30"/>
      <c r="G67" s="30"/>
      <c r="H67" s="30"/>
      <c r="I67" s="28"/>
      <c r="J67" s="28"/>
      <c r="K67" s="28"/>
      <c r="L67" s="28"/>
      <c r="M67" s="28"/>
      <c r="N67" s="1"/>
      <c r="P67" s="7"/>
    </row>
    <row r="68" spans="1:17" ht="12.75" customHeight="1" x14ac:dyDescent="0.2">
      <c r="A68" s="111" t="s">
        <v>49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"/>
      <c r="P68" s="7"/>
    </row>
    <row r="69" spans="1:17" ht="12.75" customHeight="1" x14ac:dyDescent="0.2">
      <c r="A69" s="111" t="s">
        <v>50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"/>
      <c r="O69" s="19" t="s">
        <v>53</v>
      </c>
      <c r="P69" s="7"/>
    </row>
    <row r="70" spans="1:17" ht="25.5" x14ac:dyDescent="0.2">
      <c r="A70" s="3" t="s">
        <v>67</v>
      </c>
      <c r="B70" s="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7" x14ac:dyDescent="0.2">
      <c r="A71" s="111" t="s">
        <v>61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1">
        <f>SUM(C71:N71)</f>
        <v>0</v>
      </c>
    </row>
    <row r="72" spans="1:17" x14ac:dyDescent="0.2">
      <c r="A72" s="111" t="s">
        <v>110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1"/>
    </row>
    <row r="73" spans="1:17" ht="18" customHeight="1" x14ac:dyDescent="0.25">
      <c r="A73" s="112" t="s">
        <v>111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1"/>
    </row>
    <row r="74" spans="1:17" s="6" customFormat="1" ht="30" x14ac:dyDescent="0.25">
      <c r="A74" s="112" t="s">
        <v>114</v>
      </c>
      <c r="B74" s="1"/>
      <c r="C74" s="14">
        <f>SUM(C61:C73)</f>
        <v>17688.216670000002</v>
      </c>
      <c r="D74" s="14">
        <f>SUM(D61:D73)</f>
        <v>17688.216670000002</v>
      </c>
      <c r="E74" s="14">
        <f>SUM(E61:E73)</f>
        <v>17688.216670000002</v>
      </c>
      <c r="F74" s="14">
        <f>SUM(F61:F73)</f>
        <v>17688.216670000002</v>
      </c>
      <c r="G74" s="14">
        <f>SUM(G61:G73)</f>
        <v>17688.216670000002</v>
      </c>
      <c r="H74" s="14">
        <f>SUM(H61:H73)</f>
        <v>17688.216670000002</v>
      </c>
      <c r="I74" s="14">
        <f>SUM(I61:I73)</f>
        <v>17688.216670000002</v>
      </c>
      <c r="J74" s="14">
        <f>SUM(J61:J73)</f>
        <v>17688.216670000002</v>
      </c>
      <c r="K74" s="14">
        <f>SUM(K61:K73)</f>
        <v>17688.216670000002</v>
      </c>
      <c r="L74" s="14">
        <f>SUM(L61:L73)</f>
        <v>17688.216670000002</v>
      </c>
      <c r="M74" s="14">
        <f>SUM(M61:M73)</f>
        <v>17688.216670000002</v>
      </c>
      <c r="N74" s="14">
        <f>SUM(N61:N73)</f>
        <v>17688.216670000002</v>
      </c>
      <c r="O74" s="14">
        <f>SUM(O61:O73)</f>
        <v>212258.60003999996</v>
      </c>
      <c r="P74" s="15"/>
    </row>
    <row r="75" spans="1:17" s="6" customFormat="1" ht="51.75" customHeight="1" x14ac:dyDescent="0.2">
      <c r="A75" s="110" t="s">
        <v>108</v>
      </c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 s="15"/>
    </row>
    <row r="76" spans="1:17" x14ac:dyDescent="0.2">
      <c r="P76" s="15"/>
    </row>
    <row r="77" spans="1:17" x14ac:dyDescent="0.2">
      <c r="P77" s="15"/>
    </row>
    <row r="78" spans="1:17" ht="14.25" customHeight="1" x14ac:dyDescent="0.25">
      <c r="A78" s="77" t="s">
        <v>21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15"/>
    </row>
    <row r="79" spans="1:17" ht="14.25" customHeight="1" x14ac:dyDescent="0.2">
      <c r="A79" s="8" t="s">
        <v>1</v>
      </c>
      <c r="B79" s="4">
        <v>2006</v>
      </c>
      <c r="C79" s="4">
        <v>1</v>
      </c>
      <c r="D79" s="4">
        <v>2</v>
      </c>
      <c r="E79" s="4">
        <v>3</v>
      </c>
      <c r="F79" s="4">
        <v>4</v>
      </c>
      <c r="G79" s="4">
        <v>5</v>
      </c>
      <c r="H79" s="4">
        <v>6</v>
      </c>
      <c r="I79" s="4">
        <v>7</v>
      </c>
      <c r="J79" s="4">
        <v>8</v>
      </c>
      <c r="K79" s="4">
        <v>9</v>
      </c>
      <c r="L79" s="4">
        <v>10</v>
      </c>
      <c r="M79" s="4">
        <v>11</v>
      </c>
      <c r="N79" s="4">
        <v>12</v>
      </c>
      <c r="O79" s="4">
        <v>2007</v>
      </c>
      <c r="P79" s="15"/>
    </row>
    <row r="80" spans="1:17" ht="14.25" customHeight="1" x14ac:dyDescent="0.2">
      <c r="A80" s="8" t="s">
        <v>115</v>
      </c>
      <c r="B80" s="1"/>
      <c r="C80" s="11"/>
      <c r="D80" s="11"/>
      <c r="E80" s="11"/>
      <c r="F80" s="11"/>
      <c r="G80" s="11"/>
      <c r="H80" s="11"/>
      <c r="I80" s="20"/>
      <c r="J80" s="11"/>
      <c r="K80" s="11"/>
      <c r="L80" s="11"/>
      <c r="M80" s="11"/>
      <c r="N80" s="11"/>
      <c r="O80" s="14"/>
      <c r="P80" s="15"/>
    </row>
    <row r="81" spans="1:17" ht="14.25" customHeight="1" x14ac:dyDescent="0.2">
      <c r="A81" s="8" t="s">
        <v>62</v>
      </c>
      <c r="B81" s="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4"/>
      <c r="P81" s="15"/>
    </row>
    <row r="82" spans="1:17" ht="14.25" customHeight="1" x14ac:dyDescent="0.2">
      <c r="A82" s="8" t="s">
        <v>13</v>
      </c>
      <c r="B82" s="1"/>
      <c r="C82" s="14"/>
      <c r="D82" s="14"/>
      <c r="E82" s="11"/>
      <c r="F82" s="11"/>
      <c r="G82" s="11"/>
      <c r="H82" s="11"/>
      <c r="I82" s="11"/>
      <c r="J82" s="14"/>
      <c r="K82" s="14"/>
      <c r="L82" s="14"/>
      <c r="M82" s="14"/>
      <c r="N82" s="14"/>
      <c r="O82" s="14"/>
      <c r="P82" s="16"/>
    </row>
    <row r="83" spans="1:17" ht="24" customHeight="1" x14ac:dyDescent="0.2">
      <c r="A83" s="3" t="s">
        <v>63</v>
      </c>
      <c r="B83" s="1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6"/>
    </row>
    <row r="84" spans="1:17" ht="24.75" customHeight="1" x14ac:dyDescent="0.2">
      <c r="A84" s="8" t="s">
        <v>116</v>
      </c>
      <c r="B84" s="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42"/>
    </row>
    <row r="85" spans="1:17" ht="16.5" customHeight="1" x14ac:dyDescent="0.2">
      <c r="A85" s="8" t="s">
        <v>117</v>
      </c>
      <c r="B85" s="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4"/>
      <c r="P85" s="15"/>
    </row>
    <row r="86" spans="1:17" ht="16.5" customHeight="1" x14ac:dyDescent="0.2">
      <c r="A86" s="3" t="s">
        <v>118</v>
      </c>
      <c r="B86" s="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4"/>
      <c r="P86" s="15"/>
    </row>
    <row r="87" spans="1:17" ht="29.25" customHeight="1" x14ac:dyDescent="0.2">
      <c r="A87" s="3" t="s">
        <v>64</v>
      </c>
      <c r="B87" s="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4"/>
      <c r="P87" s="15"/>
    </row>
    <row r="88" spans="1:17" ht="14.25" customHeight="1" x14ac:dyDescent="0.2">
      <c r="A88" s="36" t="s">
        <v>119</v>
      </c>
      <c r="B88" s="13"/>
      <c r="C88" s="27"/>
      <c r="D88" s="27"/>
      <c r="E88" s="27"/>
      <c r="F88" s="27"/>
      <c r="G88" s="27"/>
      <c r="H88" s="27"/>
      <c r="I88" s="43"/>
      <c r="J88" s="27"/>
      <c r="K88" s="27"/>
      <c r="L88" s="45"/>
      <c r="M88" s="27"/>
      <c r="N88" s="27"/>
      <c r="O88" s="44"/>
      <c r="P88" s="15"/>
      <c r="Q88" s="13"/>
    </row>
    <row r="89" spans="1:17" ht="14.25" customHeight="1" x14ac:dyDescent="0.2">
      <c r="A89" s="2" t="s">
        <v>66</v>
      </c>
      <c r="O89" s="7"/>
      <c r="Q89" s="13"/>
    </row>
    <row r="90" spans="1:17" ht="11.25" customHeight="1" x14ac:dyDescent="0.2"/>
    <row r="91" spans="1:17" ht="11.25" customHeight="1" x14ac:dyDescent="0.2"/>
    <row r="92" spans="1:17" ht="11.25" customHeight="1" x14ac:dyDescent="0.2"/>
    <row r="93" spans="1:17" ht="11.25" customHeight="1" x14ac:dyDescent="0.2"/>
    <row r="94" spans="1:17" ht="11.25" customHeight="1" x14ac:dyDescent="0.2"/>
    <row r="95" spans="1:17" ht="11.25" customHeight="1" x14ac:dyDescent="0.2"/>
    <row r="96" spans="1:17" ht="11.25" customHeight="1" x14ac:dyDescent="0.2">
      <c r="P96" s="6"/>
    </row>
    <row r="97" spans="1:16" s="6" customFormat="1" ht="11.25" customHeight="1" x14ac:dyDescent="0.2">
      <c r="A97" s="2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6" s="6" customFormat="1" ht="11.25" customHeight="1" x14ac:dyDescent="0.2">
      <c r="A98" s="2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6" s="6" customFormat="1" ht="11.25" customHeight="1" x14ac:dyDescent="0.2">
      <c r="A99" s="2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1.25" customHeight="1" x14ac:dyDescent="0.2">
      <c r="P100" s="21"/>
    </row>
    <row r="101" spans="1:16" ht="11.25" customHeight="1" x14ac:dyDescent="0.2">
      <c r="L101">
        <v>0.2</v>
      </c>
      <c r="P101" s="21"/>
    </row>
    <row r="102" spans="1:16" ht="11.25" customHeight="1" x14ac:dyDescent="0.2">
      <c r="P102" s="21"/>
    </row>
    <row r="103" spans="1:16" ht="11.25" customHeight="1" x14ac:dyDescent="0.2">
      <c r="P103" s="21"/>
    </row>
    <row r="104" spans="1:16" ht="11.25" customHeight="1" x14ac:dyDescent="0.2">
      <c r="P104" s="21"/>
    </row>
    <row r="105" spans="1:16" ht="11.25" customHeight="1" x14ac:dyDescent="0.2">
      <c r="P105" s="21"/>
    </row>
    <row r="106" spans="1:16" ht="11.25" customHeight="1" x14ac:dyDescent="0.2"/>
    <row r="107" spans="1:16" ht="11.25" customHeight="1" x14ac:dyDescent="0.2"/>
    <row r="108" spans="1:16" ht="11.25" customHeight="1" x14ac:dyDescent="0.2"/>
    <row r="109" spans="1:16" ht="11.25" customHeight="1" x14ac:dyDescent="0.2"/>
    <row r="110" spans="1:16" ht="11.25" customHeight="1" x14ac:dyDescent="0.2"/>
    <row r="111" spans="1:16" ht="11.25" customHeight="1" x14ac:dyDescent="0.2"/>
    <row r="112" spans="1:16" ht="11.25" customHeight="1" x14ac:dyDescent="0.2"/>
    <row r="113" spans="1:16" ht="11.25" customHeight="1" x14ac:dyDescent="0.2"/>
    <row r="114" spans="1:16" ht="11.25" customHeight="1" x14ac:dyDescent="0.2"/>
    <row r="115" spans="1:16" ht="11.25" customHeight="1" x14ac:dyDescent="0.2">
      <c r="P115" s="15"/>
    </row>
    <row r="116" spans="1:16" ht="11.25" customHeight="1" x14ac:dyDescent="0.2"/>
    <row r="117" spans="1:16" ht="11.25" customHeight="1" x14ac:dyDescent="0.2"/>
    <row r="118" spans="1:16" ht="11.25" customHeight="1" x14ac:dyDescent="0.2"/>
    <row r="119" spans="1:16" ht="11.25" customHeight="1" x14ac:dyDescent="0.2"/>
    <row r="120" spans="1:16" ht="11.25" customHeight="1" x14ac:dyDescent="0.2"/>
    <row r="121" spans="1:16" ht="11.25" customHeight="1" x14ac:dyDescent="0.2"/>
    <row r="122" spans="1:16" ht="11.25" customHeight="1" x14ac:dyDescent="0.2"/>
    <row r="123" spans="1:16" ht="11.25" customHeight="1" x14ac:dyDescent="0.2"/>
    <row r="124" spans="1:16" ht="11.25" customHeight="1" x14ac:dyDescent="0.2"/>
    <row r="125" spans="1:16" ht="11.25" customHeight="1" x14ac:dyDescent="0.2"/>
    <row r="126" spans="1:16" ht="11.25" customHeight="1" x14ac:dyDescent="0.2"/>
    <row r="127" spans="1:16" ht="11.25" customHeight="1" x14ac:dyDescent="0.2"/>
    <row r="128" spans="1:16" s="6" customFormat="1" ht="11.25" customHeight="1" x14ac:dyDescent="0.2">
      <c r="A128" s="2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s="6" customFormat="1" ht="11.25" customHeight="1" x14ac:dyDescent="0.2">
      <c r="A129" s="2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s="6" customFormat="1" ht="11.25" customHeight="1" x14ac:dyDescent="0.2">
      <c r="A130" s="2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6" ht="11.25" customHeight="1" x14ac:dyDescent="0.2">
      <c r="P131" s="6"/>
    </row>
    <row r="132" spans="1:16" ht="11.25" customHeight="1" x14ac:dyDescent="0.2">
      <c r="P132" s="6"/>
    </row>
    <row r="133" spans="1:16" ht="11.25" customHeight="1" x14ac:dyDescent="0.2">
      <c r="P133" s="6"/>
    </row>
    <row r="134" spans="1:16" ht="11.25" customHeight="1" x14ac:dyDescent="0.2">
      <c r="P134" s="6"/>
    </row>
    <row r="135" spans="1:16" ht="11.25" customHeight="1" x14ac:dyDescent="0.2"/>
    <row r="136" spans="1:16" ht="11.25" customHeight="1" x14ac:dyDescent="0.2"/>
    <row r="137" spans="1:16" ht="11.25" customHeight="1" x14ac:dyDescent="0.2"/>
    <row r="138" spans="1:16" ht="11.25" customHeight="1" x14ac:dyDescent="0.2"/>
    <row r="139" spans="1:16" ht="11.25" customHeight="1" x14ac:dyDescent="0.2"/>
    <row r="140" spans="1:16" ht="11.25" customHeight="1" x14ac:dyDescent="0.25"/>
    <row r="141" spans="1:16" ht="11.25" customHeight="1" x14ac:dyDescent="0.2"/>
    <row r="142" spans="1:16" ht="11.25" customHeight="1" x14ac:dyDescent="0.2"/>
    <row r="143" spans="1:16" ht="11.25" customHeight="1" x14ac:dyDescent="0.2"/>
    <row r="144" spans="1:16" ht="11.25" customHeight="1" x14ac:dyDescent="0.2"/>
    <row r="145" spans="1:17" ht="11.25" customHeight="1" x14ac:dyDescent="0.2"/>
    <row r="146" spans="1:17" ht="11.25" customHeight="1" x14ac:dyDescent="0.2"/>
    <row r="147" spans="1:17" ht="11.25" customHeight="1" x14ac:dyDescent="0.2"/>
    <row r="148" spans="1:17" ht="11.25" customHeight="1" x14ac:dyDescent="0.2"/>
    <row r="149" spans="1:17" ht="11.25" customHeight="1" x14ac:dyDescent="0.2"/>
    <row r="150" spans="1:17" ht="11.25" customHeight="1" x14ac:dyDescent="0.2"/>
    <row r="151" spans="1:17" ht="11.25" customHeight="1" x14ac:dyDescent="0.2"/>
    <row r="152" spans="1:17" ht="11.25" customHeight="1" x14ac:dyDescent="0.2"/>
    <row r="153" spans="1:17" ht="11.25" customHeight="1" x14ac:dyDescent="0.2"/>
    <row r="154" spans="1:17" ht="11.25" customHeight="1" x14ac:dyDescent="0.2"/>
    <row r="155" spans="1:17" ht="11.25" customHeight="1" x14ac:dyDescent="0.2"/>
    <row r="156" spans="1:17" s="6" customFormat="1" ht="11.25" customHeight="1" x14ac:dyDescent="0.25">
      <c r="A156" s="2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7" s="6" customFormat="1" ht="11.25" customHeight="1" x14ac:dyDescent="0.25">
      <c r="A157" s="2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7" s="6" customFormat="1" ht="11.25" customHeight="1" x14ac:dyDescent="0.2">
      <c r="A158" s="2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29"/>
    </row>
    <row r="159" spans="1:17" s="6" customFormat="1" ht="11.25" customHeight="1" x14ac:dyDescent="0.2">
      <c r="A159" s="2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29"/>
    </row>
    <row r="160" spans="1:17" s="6" customFormat="1" ht="11.25" customHeight="1" x14ac:dyDescent="0.2">
      <c r="A160" s="2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29"/>
    </row>
    <row r="161" spans="17:17" ht="11.25" customHeight="1" x14ac:dyDescent="0.2">
      <c r="Q161" s="21"/>
    </row>
    <row r="162" spans="17:17" ht="11.25" customHeight="1" x14ac:dyDescent="0.2">
      <c r="Q162" s="21"/>
    </row>
    <row r="163" spans="17:17" ht="11.25" customHeight="1" x14ac:dyDescent="0.2">
      <c r="Q163" s="21"/>
    </row>
    <row r="164" spans="17:17" ht="11.25" customHeight="1" x14ac:dyDescent="0.2"/>
    <row r="165" spans="17:17" ht="11.25" customHeight="1" x14ac:dyDescent="0.2"/>
    <row r="166" spans="17:17" ht="11.25" customHeight="1" x14ac:dyDescent="0.25"/>
    <row r="167" spans="17:17" ht="11.25" customHeight="1" x14ac:dyDescent="0.2"/>
    <row r="168" spans="17:17" ht="11.25" customHeight="1" x14ac:dyDescent="0.2"/>
    <row r="169" spans="17:17" ht="11.25" customHeight="1" x14ac:dyDescent="0.2"/>
    <row r="170" spans="17:17" ht="11.25" customHeight="1" x14ac:dyDescent="0.2"/>
    <row r="171" spans="17:17" ht="11.25" customHeight="1" x14ac:dyDescent="0.25"/>
    <row r="172" spans="17:17" ht="11.25" customHeight="1" x14ac:dyDescent="0.2"/>
    <row r="173" spans="17:17" ht="11.25" customHeight="1" x14ac:dyDescent="0.2"/>
    <row r="174" spans="17:17" ht="11.25" customHeight="1" x14ac:dyDescent="0.2"/>
    <row r="175" spans="17:17" ht="11.25" customHeight="1" x14ac:dyDescent="0.2"/>
    <row r="176" spans="17:17" ht="11.25" customHeight="1" x14ac:dyDescent="0.2"/>
    <row r="177" spans="1:17" ht="11.25" customHeight="1" x14ac:dyDescent="0.2"/>
    <row r="178" spans="1:17" ht="11.25" customHeight="1" x14ac:dyDescent="0.2"/>
    <row r="179" spans="1:17" ht="11.25" customHeight="1" x14ac:dyDescent="0.2"/>
    <row r="180" spans="1:17" ht="11.25" customHeight="1" x14ac:dyDescent="0.2"/>
    <row r="181" spans="1:17" ht="11.25" customHeight="1" x14ac:dyDescent="0.2"/>
    <row r="182" spans="1:17" ht="11.25" customHeight="1" x14ac:dyDescent="0.2"/>
    <row r="183" spans="1:17" ht="11.25" customHeight="1" x14ac:dyDescent="0.2"/>
    <row r="184" spans="1:17" ht="11.25" customHeight="1" x14ac:dyDescent="0.2"/>
    <row r="185" spans="1:17" s="6" customFormat="1" ht="11.25" customHeight="1" x14ac:dyDescent="0.25">
      <c r="A185" s="2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</row>
    <row r="186" spans="1:17" s="6" customFormat="1" ht="11.25" customHeight="1" x14ac:dyDescent="0.2">
      <c r="A186" s="2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</row>
    <row r="187" spans="1:17" s="6" customFormat="1" ht="11.25" customHeight="1" x14ac:dyDescent="0.2">
      <c r="A187" s="2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</row>
    <row r="188" spans="1:17" ht="11.25" customHeight="1" x14ac:dyDescent="0.2"/>
    <row r="189" spans="1:17" ht="11.25" customHeight="1" x14ac:dyDescent="0.2"/>
    <row r="190" spans="1:17" ht="11.25" customHeight="1" x14ac:dyDescent="0.2"/>
    <row r="191" spans="1:17" ht="11.25" customHeight="1" x14ac:dyDescent="0.2"/>
    <row r="192" spans="1:17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spans="17:17" ht="11.25" customHeight="1" x14ac:dyDescent="0.2"/>
    <row r="210" spans="17:17" ht="11.25" customHeight="1" x14ac:dyDescent="0.2"/>
    <row r="211" spans="17:17" ht="11.25" customHeight="1" x14ac:dyDescent="0.2"/>
    <row r="212" spans="17:17" ht="11.25" customHeight="1" x14ac:dyDescent="0.2"/>
    <row r="213" spans="17:17" ht="11.25" customHeight="1" x14ac:dyDescent="0.2"/>
    <row r="214" spans="17:17" ht="11.25" customHeight="1" x14ac:dyDescent="0.2"/>
    <row r="215" spans="17:17" ht="11.25" customHeight="1" x14ac:dyDescent="0.25"/>
    <row r="216" spans="17:17" ht="11.25" customHeight="1" x14ac:dyDescent="0.2"/>
    <row r="217" spans="17:17" ht="11.25" customHeight="1" x14ac:dyDescent="0.2"/>
    <row r="218" spans="17:17" ht="11.25" customHeight="1" x14ac:dyDescent="0.2"/>
    <row r="219" spans="17:17" ht="11.25" customHeight="1" x14ac:dyDescent="0.25">
      <c r="Q219" s="6"/>
    </row>
    <row r="220" spans="17:17" ht="409.6" x14ac:dyDescent="0.25">
      <c r="Q220" s="6"/>
    </row>
    <row r="221" spans="17:17" ht="52.5" customHeight="1" x14ac:dyDescent="0.2">
      <c r="Q221" s="6"/>
    </row>
    <row r="222" spans="17:17" x14ac:dyDescent="0.2">
      <c r="Q222" s="6"/>
    </row>
    <row r="223" spans="17:17" x14ac:dyDescent="0.2">
      <c r="Q223" s="6"/>
    </row>
    <row r="224" spans="17:17" x14ac:dyDescent="0.2">
      <c r="Q224" s="6"/>
    </row>
    <row r="225" spans="1:17" x14ac:dyDescent="0.2">
      <c r="Q225" s="6"/>
    </row>
    <row r="226" spans="1:17" x14ac:dyDescent="0.2">
      <c r="Q226" s="6"/>
    </row>
    <row r="227" spans="1:17" x14ac:dyDescent="0.2">
      <c r="Q227" s="6"/>
    </row>
    <row r="228" spans="1:17" x14ac:dyDescent="0.2">
      <c r="Q228" s="6"/>
    </row>
    <row r="230" spans="1:17" ht="41.25" customHeight="1" x14ac:dyDescent="0.2"/>
    <row r="234" spans="1:17" ht="51" customHeight="1" x14ac:dyDescent="0.25"/>
    <row r="235" spans="1:17" ht="16.5" customHeight="1" x14ac:dyDescent="0.2"/>
    <row r="236" spans="1:17" ht="15.75" customHeight="1" x14ac:dyDescent="0.2"/>
    <row r="237" spans="1:17" s="6" customFormat="1" x14ac:dyDescent="0.2">
      <c r="A237" s="2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</row>
    <row r="238" spans="1:17" s="6" customFormat="1" x14ac:dyDescent="0.2">
      <c r="A238" s="2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</row>
    <row r="239" spans="1:17" s="6" customFormat="1" x14ac:dyDescent="0.2">
      <c r="A239" s="2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</row>
    <row r="240" spans="1:17" s="6" customFormat="1" x14ac:dyDescent="0.2">
      <c r="A240" s="2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</row>
    <row r="241" spans="1:17" s="6" customFormat="1" x14ac:dyDescent="0.2">
      <c r="A241" s="2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</row>
    <row r="242" spans="1:17" s="6" customFormat="1" x14ac:dyDescent="0.2">
      <c r="A242" s="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</row>
    <row r="243" spans="1:17" s="6" customFormat="1" x14ac:dyDescent="0.2">
      <c r="A243" s="2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</row>
    <row r="244" spans="1:17" s="6" customFormat="1" x14ac:dyDescent="0.2">
      <c r="A244" s="2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</row>
    <row r="245" spans="1:17" s="6" customFormat="1" x14ac:dyDescent="0.2">
      <c r="A245" s="2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</row>
    <row r="246" spans="1:17" s="6" customFormat="1" x14ac:dyDescent="0.2">
      <c r="A246" s="2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</row>
    <row r="247" spans="1:17" ht="18" customHeight="1" x14ac:dyDescent="0.2"/>
    <row r="252" spans="1:17" ht="409.6" x14ac:dyDescent="0.25">
      <c r="Q252" s="6"/>
    </row>
    <row r="253" spans="1:17" x14ac:dyDescent="0.2">
      <c r="Q253" s="6"/>
    </row>
    <row r="254" spans="1:17" x14ac:dyDescent="0.2">
      <c r="Q254" s="6"/>
    </row>
    <row r="255" spans="1:17" x14ac:dyDescent="0.2">
      <c r="Q255" s="6"/>
    </row>
    <row r="256" spans="1:17" x14ac:dyDescent="0.2">
      <c r="Q256" s="6"/>
    </row>
    <row r="257" spans="1:17" x14ac:dyDescent="0.2">
      <c r="Q257" s="6"/>
    </row>
    <row r="258" spans="1:17" x14ac:dyDescent="0.2">
      <c r="Q258" s="6"/>
    </row>
    <row r="259" spans="1:17" x14ac:dyDescent="0.2">
      <c r="Q259" s="6"/>
    </row>
    <row r="260" spans="1:17" x14ac:dyDescent="0.2">
      <c r="Q260" s="6"/>
    </row>
    <row r="261" spans="1:17" x14ac:dyDescent="0.2">
      <c r="Q261" s="6"/>
    </row>
    <row r="270" spans="1:17" s="6" customFormat="1" ht="409.6" x14ac:dyDescent="0.25">
      <c r="A270" s="2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7"/>
    </row>
    <row r="271" spans="1:17" s="6" customFormat="1" x14ac:dyDescent="0.2">
      <c r="A271" s="2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</row>
    <row r="272" spans="1:17" s="6" customFormat="1" x14ac:dyDescent="0.2">
      <c r="A272" s="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</row>
    <row r="273" spans="1:17" s="6" customFormat="1" x14ac:dyDescent="0.2">
      <c r="A273" s="2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</row>
    <row r="274" spans="1:17" s="6" customFormat="1" x14ac:dyDescent="0.2">
      <c r="A274" s="2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</row>
    <row r="275" spans="1:17" s="6" customFormat="1" x14ac:dyDescent="0.2">
      <c r="A275" s="2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</row>
    <row r="276" spans="1:17" s="6" customFormat="1" x14ac:dyDescent="0.2">
      <c r="A276" s="2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</row>
    <row r="277" spans="1:17" s="6" customFormat="1" x14ac:dyDescent="0.2">
      <c r="A277" s="2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</row>
    <row r="278" spans="1:17" s="6" customFormat="1" x14ac:dyDescent="0.2">
      <c r="A278" s="2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</row>
    <row r="279" spans="1:17" s="6" customFormat="1" x14ac:dyDescent="0.2">
      <c r="A279" s="2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</row>
    <row r="288" spans="1:17" s="17" customFormat="1" x14ac:dyDescent="0.2">
      <c r="A288" s="2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</row>
    <row r="290" spans="17:17" ht="12.75" customHeight="1" x14ac:dyDescent="0.2"/>
    <row r="291" spans="17:17" ht="30" customHeight="1" x14ac:dyDescent="0.2"/>
    <row r="292" spans="17:17" x14ac:dyDescent="0.2">
      <c r="Q292" s="17"/>
    </row>
    <row r="293" spans="17:17" x14ac:dyDescent="0.2">
      <c r="Q293" s="17"/>
    </row>
    <row r="294" spans="17:17" ht="29.25" customHeight="1" x14ac:dyDescent="0.2"/>
    <row r="295" spans="17:17" ht="31.5" customHeight="1" x14ac:dyDescent="0.2"/>
    <row r="307" spans="1:17" ht="12.75" customHeight="1" x14ac:dyDescent="0.25"/>
    <row r="310" spans="1:17" s="17" customFormat="1" x14ac:dyDescent="0.2">
      <c r="A310" s="2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</row>
    <row r="315" spans="1:17" x14ac:dyDescent="0.2">
      <c r="Q315" s="13"/>
    </row>
    <row r="316" spans="1:17" ht="409.6" x14ac:dyDescent="0.25">
      <c r="Q316" s="13"/>
    </row>
    <row r="317" spans="1:17" x14ac:dyDescent="0.2">
      <c r="Q317" s="13"/>
    </row>
    <row r="318" spans="1:17" x14ac:dyDescent="0.2">
      <c r="Q318" s="13"/>
    </row>
    <row r="319" spans="1:17" x14ac:dyDescent="0.2">
      <c r="Q319" s="13"/>
    </row>
    <row r="320" spans="1:17" x14ac:dyDescent="0.2">
      <c r="Q320" s="13"/>
    </row>
    <row r="321" spans="17:17" x14ac:dyDescent="0.2">
      <c r="Q321" s="13"/>
    </row>
    <row r="322" spans="17:17" x14ac:dyDescent="0.2">
      <c r="Q322" s="13"/>
    </row>
    <row r="323" spans="17:17" x14ac:dyDescent="0.2">
      <c r="Q323" s="13"/>
    </row>
    <row r="324" spans="17:17" x14ac:dyDescent="0.2">
      <c r="Q324" s="13"/>
    </row>
    <row r="333" spans="17:17" ht="12.75" customHeight="1" x14ac:dyDescent="0.2"/>
    <row r="334" spans="17:17" ht="22.5" customHeight="1" x14ac:dyDescent="0.2"/>
    <row r="335" spans="17:17" ht="45.75" customHeight="1" x14ac:dyDescent="0.2"/>
    <row r="336" spans="17:17" ht="30" customHeight="1" x14ac:dyDescent="0.2"/>
    <row r="337" ht="67.5" customHeight="1" x14ac:dyDescent="0.2"/>
    <row r="338" ht="80.25" customHeight="1" x14ac:dyDescent="0.2"/>
    <row r="339" ht="28.5" customHeight="1" x14ac:dyDescent="0.2"/>
    <row r="340" ht="28.5" customHeight="1" x14ac:dyDescent="0.2"/>
    <row r="341" ht="80.25" customHeight="1" x14ac:dyDescent="0.2"/>
    <row r="342" ht="67.5" customHeight="1" x14ac:dyDescent="0.2"/>
    <row r="343" ht="18" customHeight="1" x14ac:dyDescent="0.2"/>
    <row r="344" ht="19.5" customHeight="1" x14ac:dyDescent="0.2"/>
    <row r="345" ht="17.25" customHeight="1" x14ac:dyDescent="0.2"/>
    <row r="346" ht="84.75" customHeight="1" x14ac:dyDescent="0.2"/>
    <row r="348" ht="92.25" customHeight="1" x14ac:dyDescent="0.2"/>
    <row r="349" ht="52.5" customHeight="1" x14ac:dyDescent="0.2"/>
    <row r="374" ht="26.25" customHeight="1" x14ac:dyDescent="0.25"/>
    <row r="375" ht="26.25" customHeight="1" x14ac:dyDescent="0.25"/>
    <row r="376" ht="26.25" customHeight="1" x14ac:dyDescent="0.2"/>
  </sheetData>
  <mergeCells count="8">
    <mergeCell ref="A1:O1"/>
    <mergeCell ref="A10:O10"/>
    <mergeCell ref="A23:O23"/>
    <mergeCell ref="A78:O78"/>
    <mergeCell ref="C37:K37"/>
    <mergeCell ref="A47:O47"/>
    <mergeCell ref="A59:O59"/>
    <mergeCell ref="A30:O30"/>
  </mergeCells>
  <phoneticPr fontId="1" type="noConversion"/>
  <pageMargins left="0.75" right="0.75" top="0.17" bottom="0.18" header="0.22" footer="0.17"/>
  <pageSetup paperSize="9" scale="65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24" sqref="A24"/>
    </sheetView>
  </sheetViews>
  <sheetFormatPr defaultRowHeight="12.75" x14ac:dyDescent="0.2"/>
  <cols>
    <col min="1" max="1" width="35.42578125" style="18" customWidth="1"/>
    <col min="2" max="2" width="23.42578125" style="18" customWidth="1"/>
    <col min="3" max="3" width="19.140625" style="18" customWidth="1"/>
    <col min="4" max="4" width="18.140625" style="18" customWidth="1"/>
  </cols>
  <sheetData>
    <row r="1" spans="1:7" x14ac:dyDescent="0.2">
      <c r="A1" s="100" t="s">
        <v>96</v>
      </c>
      <c r="B1" s="101"/>
      <c r="C1" s="101"/>
      <c r="D1" s="101"/>
    </row>
    <row r="2" spans="1:7" ht="22.5" customHeight="1" x14ac:dyDescent="0.2">
      <c r="B2" s="1" t="s">
        <v>54</v>
      </c>
      <c r="C2" s="1" t="s">
        <v>55</v>
      </c>
      <c r="D2" s="1" t="s">
        <v>56</v>
      </c>
    </row>
    <row r="3" spans="1:7" x14ac:dyDescent="0.2">
      <c r="A3" s="31" t="s">
        <v>57</v>
      </c>
      <c r="B3" s="1">
        <v>5</v>
      </c>
      <c r="C3" s="1">
        <v>42600</v>
      </c>
      <c r="D3" s="1">
        <f>B3*C3</f>
        <v>213000</v>
      </c>
    </row>
    <row r="4" spans="1:7" x14ac:dyDescent="0.2">
      <c r="A4" s="31"/>
      <c r="B4" s="1"/>
      <c r="C4" s="1"/>
      <c r="D4" s="1"/>
    </row>
    <row r="5" spans="1:7" x14ac:dyDescent="0.2">
      <c r="A5" s="31" t="s">
        <v>97</v>
      </c>
      <c r="B5" s="1"/>
      <c r="C5" s="1"/>
      <c r="D5" s="1"/>
      <c r="G5" s="7"/>
    </row>
    <row r="6" spans="1:7" x14ac:dyDescent="0.2">
      <c r="A6" s="31"/>
      <c r="B6" s="1"/>
      <c r="C6" s="1"/>
      <c r="D6" s="1"/>
    </row>
    <row r="7" spans="1:7" x14ac:dyDescent="0.2">
      <c r="A7" s="31"/>
      <c r="B7" s="1"/>
      <c r="C7" s="1"/>
      <c r="D7" s="1"/>
    </row>
    <row r="8" spans="1:7" x14ac:dyDescent="0.2">
      <c r="A8" s="102" t="s">
        <v>58</v>
      </c>
      <c r="B8" s="4"/>
      <c r="C8" s="4"/>
      <c r="D8" s="103">
        <f>SUM(D3:D7)</f>
        <v>213000</v>
      </c>
    </row>
    <row r="9" spans="1:7" x14ac:dyDescent="0.2">
      <c r="A9" s="97" t="s">
        <v>95</v>
      </c>
      <c r="B9" s="98"/>
      <c r="C9" s="98"/>
      <c r="D9" s="99"/>
    </row>
    <row r="10" spans="1:7" ht="15.75" customHeight="1" x14ac:dyDescent="0.2">
      <c r="A10" s="31" t="s">
        <v>59</v>
      </c>
      <c r="B10" s="1">
        <v>5</v>
      </c>
      <c r="C10" s="1">
        <v>26645</v>
      </c>
      <c r="D10" s="1">
        <f>B10*C10</f>
        <v>133225</v>
      </c>
    </row>
    <row r="11" spans="1:7" x14ac:dyDescent="0.2">
      <c r="A11" s="31" t="s">
        <v>60</v>
      </c>
      <c r="B11" s="1">
        <v>2</v>
      </c>
      <c r="C11" s="1">
        <v>3000</v>
      </c>
      <c r="D11" s="33">
        <v>3000</v>
      </c>
    </row>
    <row r="12" spans="1:7" ht="25.5" customHeight="1" x14ac:dyDescent="0.2">
      <c r="A12" s="31" t="s">
        <v>98</v>
      </c>
      <c r="B12" s="1"/>
      <c r="C12" s="1"/>
      <c r="D12" s="1"/>
    </row>
    <row r="13" spans="1:7" ht="18" customHeight="1" x14ac:dyDescent="0.2">
      <c r="A13" s="31"/>
      <c r="B13" s="1"/>
      <c r="C13" s="1"/>
      <c r="D13" s="1"/>
    </row>
    <row r="14" spans="1:7" ht="18" customHeight="1" x14ac:dyDescent="0.2">
      <c r="A14" s="31"/>
      <c r="B14" s="1"/>
      <c r="C14" s="1"/>
      <c r="D14" s="1"/>
    </row>
    <row r="15" spans="1:7" ht="18" customHeight="1" x14ac:dyDescent="0.2">
      <c r="A15" s="31"/>
      <c r="B15" s="1"/>
      <c r="C15" s="1"/>
      <c r="D15" s="1"/>
    </row>
    <row r="16" spans="1:7" x14ac:dyDescent="0.2">
      <c r="A16" s="31" t="s">
        <v>58</v>
      </c>
      <c r="B16" s="1"/>
      <c r="C16" s="1"/>
      <c r="D16" s="32">
        <f>SUM(D10:D15)</f>
        <v>136225</v>
      </c>
    </row>
    <row r="17" spans="1:4" x14ac:dyDescent="0.2">
      <c r="A17" s="34"/>
      <c r="B17"/>
      <c r="C17"/>
      <c r="D17"/>
    </row>
    <row r="18" spans="1:4" x14ac:dyDescent="0.2">
      <c r="A18" s="34"/>
      <c r="B18"/>
      <c r="C18"/>
      <c r="D18"/>
    </row>
    <row r="19" spans="1:4" x14ac:dyDescent="0.2">
      <c r="A19" s="34"/>
      <c r="B19"/>
      <c r="C19"/>
      <c r="D19"/>
    </row>
  </sheetData>
  <mergeCells count="2">
    <mergeCell ref="A9:D9"/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1"/>
  <sheetViews>
    <sheetView zoomScale="70" zoomScaleNormal="70" workbookViewId="0">
      <selection activeCell="AG14" sqref="AG14"/>
    </sheetView>
  </sheetViews>
  <sheetFormatPr defaultRowHeight="12.75" x14ac:dyDescent="0.2"/>
  <cols>
    <col min="1" max="10" width="2.7109375" customWidth="1"/>
    <col min="11" max="11" width="3.7109375" customWidth="1"/>
    <col min="12" max="12" width="3.42578125" customWidth="1"/>
    <col min="13" max="154" width="2.7109375" customWidth="1"/>
  </cols>
  <sheetData>
    <row r="1" spans="1:154" x14ac:dyDescent="0.2">
      <c r="A1" s="46"/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1"/>
      <c r="AG1" s="84" t="s">
        <v>69</v>
      </c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9" t="s">
        <v>70</v>
      </c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1"/>
      <c r="CP1" s="84" t="s">
        <v>71</v>
      </c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4" t="s">
        <v>72</v>
      </c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6"/>
    </row>
    <row r="2" spans="1:154" x14ac:dyDescent="0.2">
      <c r="A2" s="46" t="s">
        <v>73</v>
      </c>
      <c r="B2" s="47">
        <v>1</v>
      </c>
      <c r="C2" s="48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9"/>
      <c r="AG2" s="50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51"/>
      <c r="BK2" s="50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49"/>
      <c r="CP2" s="50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51"/>
      <c r="DT2" s="50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49"/>
    </row>
    <row r="3" spans="1:154" ht="15" x14ac:dyDescent="0.25">
      <c r="A3" s="46" t="s">
        <v>74</v>
      </c>
      <c r="B3" s="50"/>
      <c r="C3" s="1"/>
      <c r="D3" s="52">
        <v>3</v>
      </c>
      <c r="E3" s="48">
        <v>4</v>
      </c>
      <c r="F3" s="48">
        <v>5</v>
      </c>
      <c r="G3" s="48">
        <v>6</v>
      </c>
      <c r="H3" s="48">
        <v>7</v>
      </c>
      <c r="I3" s="53">
        <v>8</v>
      </c>
      <c r="J3" s="53">
        <v>9</v>
      </c>
      <c r="K3" s="52">
        <v>10</v>
      </c>
      <c r="L3" s="48">
        <v>11</v>
      </c>
      <c r="M3" s="48">
        <v>12</v>
      </c>
      <c r="N3" s="48">
        <v>13</v>
      </c>
      <c r="O3" s="48">
        <v>14</v>
      </c>
      <c r="P3" s="48">
        <v>15</v>
      </c>
      <c r="Q3" s="52">
        <v>16</v>
      </c>
      <c r="R3" s="52">
        <v>17</v>
      </c>
      <c r="S3" s="48">
        <v>18</v>
      </c>
      <c r="T3" s="48">
        <v>19</v>
      </c>
      <c r="U3" s="48">
        <v>20</v>
      </c>
      <c r="V3" s="48">
        <v>21</v>
      </c>
      <c r="W3" s="48">
        <v>22</v>
      </c>
      <c r="X3" s="52">
        <v>23</v>
      </c>
      <c r="Y3" s="52">
        <v>24</v>
      </c>
      <c r="Z3" s="48">
        <v>25</v>
      </c>
      <c r="AA3" s="48">
        <v>26</v>
      </c>
      <c r="AB3" s="48">
        <v>27</v>
      </c>
      <c r="AC3" s="48">
        <v>28</v>
      </c>
      <c r="AD3" s="48">
        <v>29</v>
      </c>
      <c r="AE3" s="53">
        <v>30</v>
      </c>
      <c r="AF3" s="54">
        <v>31</v>
      </c>
      <c r="AG3" s="47">
        <v>1</v>
      </c>
      <c r="AH3" s="48">
        <v>2</v>
      </c>
      <c r="AI3" s="48">
        <v>3</v>
      </c>
      <c r="AJ3" s="48">
        <v>4</v>
      </c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93"/>
      <c r="BK3" s="56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55"/>
      <c r="CP3" s="56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93"/>
      <c r="DT3" s="56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49"/>
    </row>
    <row r="4" spans="1:154" x14ac:dyDescent="0.2">
      <c r="A4" s="46" t="s">
        <v>75</v>
      </c>
      <c r="B4" s="5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49"/>
      <c r="AG4" s="50"/>
      <c r="AH4" s="1"/>
      <c r="AI4" s="1"/>
      <c r="AJ4" s="1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93"/>
      <c r="BK4" s="56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55"/>
      <c r="CP4" s="56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93"/>
      <c r="DT4" s="56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49"/>
    </row>
    <row r="5" spans="1:154" x14ac:dyDescent="0.2">
      <c r="A5" s="46" t="s">
        <v>76</v>
      </c>
      <c r="B5" s="5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49"/>
      <c r="AG5" s="50"/>
      <c r="AH5" s="1"/>
      <c r="AI5" s="1"/>
      <c r="AJ5" s="1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93"/>
      <c r="BK5" s="56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55"/>
      <c r="CP5" s="56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93"/>
      <c r="DT5" s="56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49"/>
    </row>
    <row r="6" spans="1:154" x14ac:dyDescent="0.2">
      <c r="A6" s="46" t="s">
        <v>77</v>
      </c>
      <c r="B6" s="5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49"/>
      <c r="AG6" s="50"/>
      <c r="AH6" s="1"/>
      <c r="AI6" s="1"/>
      <c r="AJ6" s="1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93"/>
      <c r="BK6" s="56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55"/>
      <c r="CP6" s="56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93"/>
      <c r="DT6" s="56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49"/>
    </row>
    <row r="7" spans="1:154" x14ac:dyDescent="0.2">
      <c r="A7" s="46" t="s">
        <v>78</v>
      </c>
      <c r="B7" s="5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49"/>
      <c r="AG7" s="50"/>
      <c r="AH7" s="1"/>
      <c r="AI7" s="1"/>
      <c r="AJ7" s="1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93"/>
      <c r="BK7" s="56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55"/>
      <c r="CP7" s="56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93"/>
      <c r="DT7" s="56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49"/>
    </row>
    <row r="8" spans="1:154" x14ac:dyDescent="0.2">
      <c r="A8" s="46" t="s">
        <v>79</v>
      </c>
      <c r="B8" s="5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49"/>
      <c r="AG8" s="50"/>
      <c r="AH8" s="1"/>
      <c r="AI8" s="1"/>
      <c r="AJ8" s="1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93"/>
      <c r="BK8" s="56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55"/>
      <c r="CP8" s="56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93"/>
      <c r="DT8" s="56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52">
        <v>14</v>
      </c>
      <c r="EH8" s="48">
        <v>16</v>
      </c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49"/>
    </row>
    <row r="9" spans="1:154" x14ac:dyDescent="0.2">
      <c r="A9" s="46" t="s">
        <v>80</v>
      </c>
      <c r="B9" s="5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49"/>
      <c r="AG9" s="50"/>
      <c r="AH9" s="1"/>
      <c r="AI9" s="1"/>
      <c r="AJ9" s="1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93"/>
      <c r="BK9" s="56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55"/>
      <c r="CP9" s="56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93"/>
      <c r="DT9" s="56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1"/>
      <c r="EH9" s="1"/>
      <c r="EI9" s="48">
        <v>17</v>
      </c>
      <c r="EJ9" s="48">
        <v>18</v>
      </c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49"/>
    </row>
    <row r="10" spans="1:154" ht="15.75" thickBot="1" x14ac:dyDescent="0.3">
      <c r="A10" s="46" t="s">
        <v>81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7"/>
      <c r="AH10" s="58"/>
      <c r="AI10" s="58"/>
      <c r="AJ10" s="58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94"/>
      <c r="BK10" s="95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96"/>
      <c r="CP10" s="95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94"/>
      <c r="DT10" s="95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1"/>
      <c r="EG10" s="61"/>
      <c r="EH10" s="60"/>
      <c r="EI10" s="58"/>
      <c r="EJ10" s="58"/>
      <c r="EK10" s="62">
        <v>19</v>
      </c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9"/>
    </row>
    <row r="12" spans="1:154" x14ac:dyDescent="0.2">
      <c r="AF12" s="13"/>
      <c r="AG12" s="63"/>
      <c r="AH12" s="63"/>
    </row>
    <row r="13" spans="1:154" x14ac:dyDescent="0.2">
      <c r="B13" s="17"/>
      <c r="D13" s="64" t="s">
        <v>82</v>
      </c>
      <c r="E13" s="64"/>
      <c r="F13" s="64"/>
      <c r="G13" s="64"/>
      <c r="H13" s="64"/>
      <c r="I13" s="65"/>
      <c r="M13" s="1"/>
      <c r="N13" s="81"/>
      <c r="O13" s="82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F13" s="13"/>
      <c r="AG13" s="63"/>
      <c r="AH13" s="63"/>
    </row>
    <row r="14" spans="1:154" x14ac:dyDescent="0.2">
      <c r="M14" s="1"/>
      <c r="N14" s="87"/>
      <c r="O14" s="88"/>
      <c r="AF14" s="13"/>
      <c r="AG14" s="63"/>
      <c r="AH14" s="63"/>
    </row>
    <row r="15" spans="1:154" x14ac:dyDescent="0.2">
      <c r="B15" s="17"/>
      <c r="D15" s="80" t="s">
        <v>83</v>
      </c>
      <c r="E15" s="80"/>
      <c r="F15" s="80"/>
      <c r="G15" s="80"/>
      <c r="H15" s="80"/>
      <c r="I15" s="80"/>
      <c r="M15" s="1"/>
      <c r="N15" s="81"/>
      <c r="O15" s="82"/>
      <c r="AF15" s="67"/>
      <c r="AG15" s="63"/>
      <c r="AH15" s="63"/>
    </row>
    <row r="16" spans="1:154" x14ac:dyDescent="0.2">
      <c r="M16" s="68"/>
      <c r="N16" s="83"/>
      <c r="O16" s="83"/>
      <c r="AF16" s="67"/>
      <c r="AG16" s="63"/>
      <c r="AH16" s="63"/>
    </row>
    <row r="17" spans="13:34" x14ac:dyDescent="0.2">
      <c r="M17" s="68"/>
      <c r="N17" s="83"/>
      <c r="O17" s="83"/>
      <c r="AF17" s="67"/>
      <c r="AG17" s="63"/>
      <c r="AH17" s="63"/>
    </row>
    <row r="18" spans="13:34" x14ac:dyDescent="0.2">
      <c r="M18" s="68"/>
      <c r="N18" s="83"/>
      <c r="O18" s="83"/>
      <c r="AF18" s="67"/>
      <c r="AG18" s="63"/>
      <c r="AH18" s="63"/>
    </row>
    <row r="19" spans="13:34" x14ac:dyDescent="0.2">
      <c r="M19" s="68"/>
      <c r="N19" s="83"/>
      <c r="O19" s="83"/>
      <c r="AF19" s="67"/>
      <c r="AG19" s="63"/>
      <c r="AH19" s="63"/>
    </row>
    <row r="20" spans="13:34" x14ac:dyDescent="0.2">
      <c r="M20" s="68"/>
      <c r="N20" s="83"/>
      <c r="O20" s="83"/>
      <c r="AF20" s="67"/>
      <c r="AG20" s="63"/>
      <c r="AH20" s="63"/>
    </row>
    <row r="21" spans="13:34" x14ac:dyDescent="0.2">
      <c r="M21" s="68"/>
      <c r="N21" s="83"/>
      <c r="O21" s="83"/>
    </row>
  </sheetData>
  <mergeCells count="15">
    <mergeCell ref="DT1:EX1"/>
    <mergeCell ref="N19:O19"/>
    <mergeCell ref="N20:O20"/>
    <mergeCell ref="N21:O21"/>
    <mergeCell ref="N14:O14"/>
    <mergeCell ref="N13:O13"/>
    <mergeCell ref="B1:AF1"/>
    <mergeCell ref="AG1:BJ1"/>
    <mergeCell ref="BK1:CO1"/>
    <mergeCell ref="CP1:DS1"/>
    <mergeCell ref="D15:I15"/>
    <mergeCell ref="N15:O15"/>
    <mergeCell ref="N16:O16"/>
    <mergeCell ref="N17:O17"/>
    <mergeCell ref="N18:O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L7" sqref="L7"/>
    </sheetView>
  </sheetViews>
  <sheetFormatPr defaultRowHeight="12.75" x14ac:dyDescent="0.2"/>
  <sheetData>
    <row r="2" spans="1:11" ht="13.5" thickBot="1" x14ac:dyDescent="0.25"/>
    <row r="3" spans="1:11" ht="51.75" thickBot="1" x14ac:dyDescent="0.25">
      <c r="A3" s="69" t="s">
        <v>84</v>
      </c>
      <c r="B3" s="70" t="s">
        <v>85</v>
      </c>
      <c r="C3" s="70" t="s">
        <v>86</v>
      </c>
      <c r="D3" s="70" t="s">
        <v>87</v>
      </c>
      <c r="E3" s="70" t="s">
        <v>86</v>
      </c>
      <c r="F3" s="70" t="s">
        <v>87</v>
      </c>
      <c r="G3" s="70" t="s">
        <v>88</v>
      </c>
      <c r="H3" s="70" t="s">
        <v>89</v>
      </c>
      <c r="I3" s="71" t="s">
        <v>90</v>
      </c>
      <c r="J3" s="71" t="s">
        <v>91</v>
      </c>
      <c r="K3" s="71" t="s">
        <v>92</v>
      </c>
    </row>
    <row r="4" spans="1:11" ht="13.5" thickBot="1" x14ac:dyDescent="0.25">
      <c r="A4" s="72">
        <v>1</v>
      </c>
      <c r="B4" s="73">
        <v>6</v>
      </c>
      <c r="C4" s="73">
        <v>0.34815000000000002</v>
      </c>
      <c r="D4" s="73">
        <v>1.05545</v>
      </c>
      <c r="E4" s="73">
        <v>2.0889000000000002</v>
      </c>
      <c r="F4" s="73">
        <v>6.3327</v>
      </c>
      <c r="G4" s="73">
        <v>2</v>
      </c>
      <c r="H4" s="73">
        <v>2</v>
      </c>
      <c r="I4" s="73">
        <f>E4/G4</f>
        <v>1.0444500000000001</v>
      </c>
      <c r="J4" s="73">
        <f>F4/H4</f>
        <v>3.16635</v>
      </c>
      <c r="K4" s="73">
        <v>3</v>
      </c>
    </row>
    <row r="5" spans="1:11" ht="13.5" thickBot="1" x14ac:dyDescent="0.25">
      <c r="A5" s="72">
        <v>2</v>
      </c>
      <c r="B5" s="73">
        <v>110</v>
      </c>
      <c r="C5" s="73">
        <v>0.40200000000000002</v>
      </c>
      <c r="D5" s="73">
        <v>0.22</v>
      </c>
      <c r="E5" s="73">
        <v>44.22</v>
      </c>
      <c r="F5" s="73">
        <v>24.2</v>
      </c>
      <c r="G5" s="73">
        <v>4</v>
      </c>
      <c r="H5" s="73">
        <v>2</v>
      </c>
      <c r="I5" s="73">
        <f>E5/G5</f>
        <v>11.055</v>
      </c>
      <c r="J5" s="73">
        <f>F5/H5</f>
        <v>12.1</v>
      </c>
      <c r="K5" s="73">
        <v>12</v>
      </c>
    </row>
    <row r="6" spans="1:11" ht="13.5" thickBot="1" x14ac:dyDescent="0.25">
      <c r="A6" s="72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ht="13.5" thickBot="1" x14ac:dyDescent="0.25">
      <c r="A7" s="72">
        <v>4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1" ht="13.5" thickBot="1" x14ac:dyDescent="0.25">
      <c r="A8" s="72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 ht="13.5" thickBot="1" x14ac:dyDescent="0.25">
      <c r="A9" s="72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1" s="75" customFormat="1" ht="13.5" thickBot="1" x14ac:dyDescent="0.25">
      <c r="A10" s="72">
        <v>7</v>
      </c>
      <c r="B10" s="74">
        <v>6</v>
      </c>
      <c r="C10" s="74">
        <v>2.0209999999999999</v>
      </c>
      <c r="D10" s="74">
        <v>6.0999999999999999E-2</v>
      </c>
      <c r="E10" s="74">
        <v>12.125999999999999</v>
      </c>
      <c r="F10" s="74">
        <v>0.36599999999999999</v>
      </c>
      <c r="G10" s="74">
        <v>1</v>
      </c>
      <c r="H10" s="74">
        <v>1</v>
      </c>
      <c r="I10" s="74">
        <v>1.51</v>
      </c>
      <c r="J10" s="74">
        <v>1.83</v>
      </c>
      <c r="K10" s="74">
        <v>2</v>
      </c>
    </row>
    <row r="11" spans="1:11" ht="13.5" thickBot="1" x14ac:dyDescent="0.25">
      <c r="A11" s="72">
        <v>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 ht="13.5" thickBot="1" x14ac:dyDescent="0.25">
      <c r="A12" s="72">
        <v>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4" spans="1:11" x14ac:dyDescent="0.2">
      <c r="C14" s="92"/>
      <c r="D14" s="92"/>
    </row>
    <row r="15" spans="1:11" x14ac:dyDescent="0.2">
      <c r="C15" s="92"/>
      <c r="D15" s="92"/>
    </row>
  </sheetData>
  <mergeCells count="2"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Бюджетирование</vt:lpstr>
      <vt:lpstr>Амортизация</vt:lpstr>
      <vt:lpstr>Календарный план</vt:lpstr>
      <vt:lpstr>Расчет продолжительности дней</vt:lpstr>
    </vt:vector>
  </TitlesOfParts>
  <Company>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Астафьев Сергей Александрович</cp:lastModifiedBy>
  <cp:lastPrinted>2004-11-09T07:17:15Z</cp:lastPrinted>
  <dcterms:created xsi:type="dcterms:W3CDTF">2004-10-30T04:59:39Z</dcterms:created>
  <dcterms:modified xsi:type="dcterms:W3CDTF">2014-03-16T03:06:29Z</dcterms:modified>
</cp:coreProperties>
</file>